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iosv-fs\data\STAFF\ACC\VKamenska\budj.s-ka\2023\"/>
    </mc:Choice>
  </mc:AlternateContent>
  <bookViews>
    <workbookView xWindow="0" yWindow="0" windowWidth="14010" windowHeight="11010" firstSheet="8" activeTab="11"/>
  </bookViews>
  <sheets>
    <sheet name="OTCHETagregirani pokazateli0123" sheetId="1" r:id="rId1"/>
    <sheet name="OTCHETagregirani pokazateli0223" sheetId="2" r:id="rId2"/>
    <sheet name="OTCHETagregirani pokazateli0323" sheetId="3" r:id="rId3"/>
    <sheet name="OTCHETagregirani pokazateli0423" sheetId="4" r:id="rId4"/>
    <sheet name="OTCHETagregirani pokazateli0523" sheetId="5" r:id="rId5"/>
    <sheet name="OTCHETagregirani pokazateli0623" sheetId="6" r:id="rId6"/>
    <sheet name="OTCHETagregirani pokazateli0723" sheetId="7" r:id="rId7"/>
    <sheet name="OTCHETagregirani pokazateli0823" sheetId="8" r:id="rId8"/>
    <sheet name="OTCHETagregirani pokazateli0923" sheetId="9" r:id="rId9"/>
    <sheet name="OTCHETagregirani pokazateli1023" sheetId="10" r:id="rId10"/>
    <sheet name="OTCHETagregirani pokazateli1123" sheetId="11" r:id="rId11"/>
    <sheet name="OTCHETagregirani pokazateli1223" sheetId="1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SMETKA">[1]list!$A$2:$C$7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7" i="12" l="1"/>
  <c r="H107" i="12"/>
  <c r="G107" i="12"/>
  <c r="B107" i="12"/>
  <c r="J96" i="12"/>
  <c r="F96" i="12" s="1"/>
  <c r="I96" i="12"/>
  <c r="H96" i="12"/>
  <c r="G96" i="12"/>
  <c r="E96" i="12"/>
  <c r="J95" i="12"/>
  <c r="I95" i="12"/>
  <c r="H95" i="12"/>
  <c r="F95" i="12" s="1"/>
  <c r="G95" i="12"/>
  <c r="E95" i="12"/>
  <c r="J94" i="12"/>
  <c r="I94" i="12"/>
  <c r="H94" i="12"/>
  <c r="G94" i="12"/>
  <c r="F94" i="12"/>
  <c r="E94" i="12"/>
  <c r="J93" i="12"/>
  <c r="I93" i="12"/>
  <c r="H93" i="12"/>
  <c r="G93" i="12"/>
  <c r="F93" i="12" s="1"/>
  <c r="E93" i="12"/>
  <c r="J92" i="12"/>
  <c r="F92" i="12" s="1"/>
  <c r="I92" i="12"/>
  <c r="H92" i="12"/>
  <c r="G92" i="12"/>
  <c r="E92" i="12"/>
  <c r="J91" i="12"/>
  <c r="I91" i="12"/>
  <c r="H91" i="12"/>
  <c r="G91" i="12"/>
  <c r="F91" i="12" s="1"/>
  <c r="E91" i="12"/>
  <c r="J90" i="12"/>
  <c r="I90" i="12"/>
  <c r="H90" i="12"/>
  <c r="G90" i="12"/>
  <c r="F90" i="12"/>
  <c r="E90" i="12"/>
  <c r="J89" i="12"/>
  <c r="I89" i="12"/>
  <c r="H89" i="12"/>
  <c r="G89" i="12"/>
  <c r="F89" i="12" s="1"/>
  <c r="E89" i="12"/>
  <c r="J88" i="12"/>
  <c r="J86" i="12" s="1"/>
  <c r="I88" i="12"/>
  <c r="H88" i="12"/>
  <c r="G88" i="12"/>
  <c r="F88" i="12" s="1"/>
  <c r="E88" i="12"/>
  <c r="J87" i="12"/>
  <c r="I87" i="12"/>
  <c r="H87" i="12"/>
  <c r="H86" i="12" s="1"/>
  <c r="G87" i="12"/>
  <c r="F87" i="12" s="1"/>
  <c r="F86" i="12" s="1"/>
  <c r="E87" i="12"/>
  <c r="E86" i="12" s="1"/>
  <c r="M86" i="12"/>
  <c r="L86" i="12"/>
  <c r="K86" i="12"/>
  <c r="I86" i="12"/>
  <c r="J85" i="12"/>
  <c r="I85" i="12"/>
  <c r="H85" i="12"/>
  <c r="G85" i="12"/>
  <c r="F85" i="12" s="1"/>
  <c r="E85" i="12"/>
  <c r="J84" i="12"/>
  <c r="I84" i="12"/>
  <c r="H84" i="12"/>
  <c r="G84" i="12"/>
  <c r="F84" i="12"/>
  <c r="E84" i="12"/>
  <c r="J83" i="12"/>
  <c r="I83" i="12"/>
  <c r="H83" i="12"/>
  <c r="G83" i="12"/>
  <c r="F83" i="12" s="1"/>
  <c r="E83" i="12"/>
  <c r="J82" i="12"/>
  <c r="I82" i="12"/>
  <c r="F82" i="12" s="1"/>
  <c r="H82" i="12"/>
  <c r="G82" i="12"/>
  <c r="E82" i="12"/>
  <c r="F81" i="12"/>
  <c r="J80" i="12"/>
  <c r="I80" i="12"/>
  <c r="H80" i="12"/>
  <c r="H77" i="12" s="1"/>
  <c r="G80" i="12"/>
  <c r="F80" i="12" s="1"/>
  <c r="E80" i="12"/>
  <c r="J79" i="12"/>
  <c r="I79" i="12"/>
  <c r="H79" i="12"/>
  <c r="G79" i="12"/>
  <c r="F79" i="12"/>
  <c r="E79" i="12"/>
  <c r="J78" i="12"/>
  <c r="I78" i="12"/>
  <c r="H78" i="12"/>
  <c r="G78" i="12"/>
  <c r="F78" i="12" s="1"/>
  <c r="E78" i="12"/>
  <c r="M77" i="12"/>
  <c r="L77" i="12"/>
  <c r="K77" i="12"/>
  <c r="J77" i="12"/>
  <c r="G77" i="12"/>
  <c r="E77" i="12"/>
  <c r="M76" i="12"/>
  <c r="L76" i="12"/>
  <c r="K76" i="12"/>
  <c r="J76" i="12"/>
  <c r="I76" i="12"/>
  <c r="H76" i="12"/>
  <c r="G76" i="12"/>
  <c r="F76" i="12"/>
  <c r="E76" i="12"/>
  <c r="M75" i="12"/>
  <c r="L75" i="12"/>
  <c r="K75" i="12"/>
  <c r="J75" i="12"/>
  <c r="I75" i="12"/>
  <c r="H75" i="12"/>
  <c r="G75" i="12"/>
  <c r="G68" i="12" s="1"/>
  <c r="E75" i="12"/>
  <c r="M74" i="12"/>
  <c r="L74" i="12"/>
  <c r="K74" i="12"/>
  <c r="J74" i="12"/>
  <c r="I74" i="12"/>
  <c r="H74" i="12"/>
  <c r="F74" i="12" s="1"/>
  <c r="G74" i="12"/>
  <c r="E74" i="12"/>
  <c r="M73" i="12"/>
  <c r="L73" i="12"/>
  <c r="K73" i="12"/>
  <c r="J73" i="12"/>
  <c r="I73" i="12"/>
  <c r="I68" i="12" s="1"/>
  <c r="H73" i="12"/>
  <c r="G73" i="12"/>
  <c r="F73" i="12" s="1"/>
  <c r="E73" i="12"/>
  <c r="M72" i="12"/>
  <c r="L72" i="12"/>
  <c r="K72" i="12"/>
  <c r="J72" i="12"/>
  <c r="J68" i="12" s="1"/>
  <c r="I72" i="12"/>
  <c r="F72" i="12" s="1"/>
  <c r="H72" i="12"/>
  <c r="G72" i="12"/>
  <c r="E72" i="12"/>
  <c r="M71" i="12"/>
  <c r="L71" i="12"/>
  <c r="K71" i="12"/>
  <c r="J71" i="12"/>
  <c r="I71" i="12"/>
  <c r="H71" i="12"/>
  <c r="G71" i="12"/>
  <c r="F71" i="12" s="1"/>
  <c r="E71" i="12"/>
  <c r="M70" i="12"/>
  <c r="L70" i="12"/>
  <c r="K70" i="12"/>
  <c r="J70" i="12"/>
  <c r="I70" i="12"/>
  <c r="H70" i="12"/>
  <c r="G70" i="12"/>
  <c r="F70" i="12" s="1"/>
  <c r="E70" i="12"/>
  <c r="M69" i="12"/>
  <c r="M68" i="12" s="1"/>
  <c r="M66" i="12" s="1"/>
  <c r="L69" i="12"/>
  <c r="K69" i="12"/>
  <c r="J69" i="12"/>
  <c r="I69" i="12"/>
  <c r="H69" i="12"/>
  <c r="H68" i="12" s="1"/>
  <c r="H66" i="12" s="1"/>
  <c r="G69" i="12"/>
  <c r="E69" i="12"/>
  <c r="E68" i="12" s="1"/>
  <c r="E66" i="12" s="1"/>
  <c r="L68" i="12"/>
  <c r="K68" i="12"/>
  <c r="F67" i="12"/>
  <c r="L66" i="12"/>
  <c r="K66" i="12"/>
  <c r="K64" i="12"/>
  <c r="K65" i="12" s="1"/>
  <c r="J63" i="12"/>
  <c r="I63" i="12"/>
  <c r="H63" i="12"/>
  <c r="G63" i="12"/>
  <c r="F63" i="12" s="1"/>
  <c r="E63" i="12"/>
  <c r="J62" i="12"/>
  <c r="I62" i="12"/>
  <c r="H62" i="12"/>
  <c r="G62" i="12"/>
  <c r="F62" i="12" s="1"/>
  <c r="E62" i="12"/>
  <c r="F61" i="12"/>
  <c r="J60" i="12"/>
  <c r="I60" i="12"/>
  <c r="H60" i="12"/>
  <c r="G60" i="12"/>
  <c r="F60" i="12"/>
  <c r="E60" i="12"/>
  <c r="J59" i="12"/>
  <c r="I59" i="12"/>
  <c r="H59" i="12"/>
  <c r="G59" i="12"/>
  <c r="F59" i="12" s="1"/>
  <c r="E59" i="12"/>
  <c r="J58" i="12"/>
  <c r="J56" i="12" s="1"/>
  <c r="I58" i="12"/>
  <c r="H58" i="12"/>
  <c r="G58" i="12"/>
  <c r="F58" i="12" s="1"/>
  <c r="E58" i="12"/>
  <c r="J57" i="12"/>
  <c r="I57" i="12"/>
  <c r="H57" i="12"/>
  <c r="H56" i="12" s="1"/>
  <c r="G57" i="12"/>
  <c r="F57" i="12" s="1"/>
  <c r="F56" i="12" s="1"/>
  <c r="E57" i="12"/>
  <c r="E56" i="12" s="1"/>
  <c r="M56" i="12"/>
  <c r="L56" i="12"/>
  <c r="K56" i="12"/>
  <c r="I56" i="12"/>
  <c r="J55" i="12"/>
  <c r="I55" i="12"/>
  <c r="H55" i="12"/>
  <c r="G55" i="12"/>
  <c r="F55" i="12" s="1"/>
  <c r="E55" i="12"/>
  <c r="J54" i="12"/>
  <c r="I54" i="12"/>
  <c r="H54" i="12"/>
  <c r="G54" i="12"/>
  <c r="F54" i="12" s="1"/>
  <c r="E54" i="12"/>
  <c r="J53" i="12"/>
  <c r="I53" i="12"/>
  <c r="H53" i="12"/>
  <c r="G53" i="12"/>
  <c r="F53" i="12"/>
  <c r="E53" i="12"/>
  <c r="J52" i="12"/>
  <c r="I52" i="12"/>
  <c r="F52" i="12" s="1"/>
  <c r="H52" i="12"/>
  <c r="G52" i="12"/>
  <c r="E52" i="12"/>
  <c r="J51" i="12"/>
  <c r="I51" i="12"/>
  <c r="H51" i="12"/>
  <c r="G51" i="12"/>
  <c r="F51" i="12" s="1"/>
  <c r="E51" i="12"/>
  <c r="J50" i="12"/>
  <c r="I50" i="12"/>
  <c r="H50" i="12"/>
  <c r="G50" i="12"/>
  <c r="F50" i="12" s="1"/>
  <c r="E50" i="12"/>
  <c r="J49" i="12"/>
  <c r="I49" i="12"/>
  <c r="H49" i="12"/>
  <c r="G49" i="12"/>
  <c r="F49" i="12" s="1"/>
  <c r="E49" i="12"/>
  <c r="J48" i="12"/>
  <c r="I48" i="12"/>
  <c r="F48" i="12" s="1"/>
  <c r="H48" i="12"/>
  <c r="G48" i="12"/>
  <c r="E48" i="12"/>
  <c r="J47" i="12"/>
  <c r="I47" i="12"/>
  <c r="H47" i="12"/>
  <c r="G47" i="12"/>
  <c r="F47" i="12" s="1"/>
  <c r="E47" i="12"/>
  <c r="J46" i="12"/>
  <c r="I46" i="12"/>
  <c r="H46" i="12"/>
  <c r="G46" i="12"/>
  <c r="F46" i="12" s="1"/>
  <c r="E46" i="12"/>
  <c r="J45" i="12"/>
  <c r="I45" i="12"/>
  <c r="H45" i="12"/>
  <c r="G45" i="12"/>
  <c r="F45" i="12" s="1"/>
  <c r="E45" i="12"/>
  <c r="J44" i="12"/>
  <c r="I44" i="12"/>
  <c r="H44" i="12"/>
  <c r="G44" i="12"/>
  <c r="F44" i="12" s="1"/>
  <c r="E44" i="12"/>
  <c r="J43" i="12"/>
  <c r="I43" i="12"/>
  <c r="H43" i="12"/>
  <c r="G43" i="12"/>
  <c r="F43" i="12" s="1"/>
  <c r="E43" i="12"/>
  <c r="J42" i="12"/>
  <c r="I42" i="12"/>
  <c r="H42" i="12"/>
  <c r="G42" i="12"/>
  <c r="F42" i="12" s="1"/>
  <c r="E42" i="12"/>
  <c r="J41" i="12"/>
  <c r="I41" i="12"/>
  <c r="H41" i="12"/>
  <c r="G41" i="12"/>
  <c r="F41" i="12" s="1"/>
  <c r="E41" i="12"/>
  <c r="J40" i="12"/>
  <c r="J39" i="12" s="1"/>
  <c r="J38" i="12" s="1"/>
  <c r="I40" i="12"/>
  <c r="I39" i="12" s="1"/>
  <c r="I38" i="12" s="1"/>
  <c r="H40" i="12"/>
  <c r="H39" i="12" s="1"/>
  <c r="H38" i="12" s="1"/>
  <c r="G40" i="12"/>
  <c r="F40" i="12" s="1"/>
  <c r="F39" i="12" s="1"/>
  <c r="E40" i="12"/>
  <c r="E39" i="12" s="1"/>
  <c r="E38" i="12" s="1"/>
  <c r="G39" i="12"/>
  <c r="G38" i="12" s="1"/>
  <c r="M38" i="12"/>
  <c r="L38" i="12"/>
  <c r="K38" i="12"/>
  <c r="J37" i="12"/>
  <c r="I37" i="12"/>
  <c r="H37" i="12"/>
  <c r="G37" i="12"/>
  <c r="F37" i="12"/>
  <c r="E37" i="12"/>
  <c r="J36" i="12"/>
  <c r="I36" i="12"/>
  <c r="H36" i="12"/>
  <c r="G36" i="12"/>
  <c r="F36" i="12" s="1"/>
  <c r="E36" i="12"/>
  <c r="F35" i="12"/>
  <c r="F34" i="12"/>
  <c r="J33" i="12"/>
  <c r="I33" i="12"/>
  <c r="H33" i="12"/>
  <c r="G33" i="12"/>
  <c r="F33" i="12" s="1"/>
  <c r="E33" i="12"/>
  <c r="J32" i="12"/>
  <c r="J25" i="12" s="1"/>
  <c r="J22" i="12" s="1"/>
  <c r="J64" i="12" s="1"/>
  <c r="I32" i="12"/>
  <c r="H32" i="12"/>
  <c r="G32" i="12"/>
  <c r="F32" i="12" s="1"/>
  <c r="E32" i="12"/>
  <c r="J31" i="12"/>
  <c r="I31" i="12"/>
  <c r="H31" i="12"/>
  <c r="H25" i="12" s="1"/>
  <c r="G31" i="12"/>
  <c r="F31" i="12" s="1"/>
  <c r="E31" i="12"/>
  <c r="J30" i="12"/>
  <c r="I30" i="12"/>
  <c r="H30" i="12"/>
  <c r="G30" i="12"/>
  <c r="F30" i="12"/>
  <c r="E30" i="12"/>
  <c r="J29" i="12"/>
  <c r="I29" i="12"/>
  <c r="H29" i="12"/>
  <c r="G29" i="12"/>
  <c r="F29" i="12" s="1"/>
  <c r="E29" i="12"/>
  <c r="J28" i="12"/>
  <c r="I28" i="12"/>
  <c r="H28" i="12"/>
  <c r="G28" i="12"/>
  <c r="F28" i="12" s="1"/>
  <c r="E28" i="12"/>
  <c r="J27" i="12"/>
  <c r="I27" i="12"/>
  <c r="H27" i="12"/>
  <c r="G27" i="12"/>
  <c r="F27" i="12" s="1"/>
  <c r="E27" i="12"/>
  <c r="J26" i="12"/>
  <c r="I26" i="12"/>
  <c r="H26" i="12"/>
  <c r="G26" i="12"/>
  <c r="F26" i="12"/>
  <c r="E26" i="12"/>
  <c r="E25" i="12" s="1"/>
  <c r="M25" i="12"/>
  <c r="L25" i="12"/>
  <c r="K25" i="12"/>
  <c r="I25" i="12"/>
  <c r="G25" i="12"/>
  <c r="G22" i="12" s="1"/>
  <c r="F24" i="12"/>
  <c r="J23" i="12"/>
  <c r="I23" i="12"/>
  <c r="H23" i="12"/>
  <c r="G23" i="12"/>
  <c r="F23" i="12"/>
  <c r="E23" i="12"/>
  <c r="M22" i="12"/>
  <c r="M64" i="12" s="1"/>
  <c r="M65" i="12" s="1"/>
  <c r="L22" i="12"/>
  <c r="L64" i="12" s="1"/>
  <c r="L65" i="12" s="1"/>
  <c r="K22" i="12"/>
  <c r="I22" i="12"/>
  <c r="I64" i="12" s="1"/>
  <c r="F15" i="12"/>
  <c r="E15" i="12"/>
  <c r="F13" i="12"/>
  <c r="E13" i="12"/>
  <c r="B13" i="12"/>
  <c r="I11" i="12"/>
  <c r="H11" i="12"/>
  <c r="F11" i="12"/>
  <c r="B11" i="12"/>
  <c r="B8" i="12"/>
  <c r="J66" i="12" l="1"/>
  <c r="J65" i="12" s="1"/>
  <c r="E22" i="12"/>
  <c r="E64" i="12" s="1"/>
  <c r="F38" i="12"/>
  <c r="F22" i="12"/>
  <c r="F64" i="12" s="1"/>
  <c r="F77" i="12"/>
  <c r="H22" i="12"/>
  <c r="H64" i="12" s="1"/>
  <c r="G66" i="12"/>
  <c r="F25" i="12"/>
  <c r="I66" i="12"/>
  <c r="I105" i="12" s="1"/>
  <c r="F75" i="12"/>
  <c r="F69" i="12"/>
  <c r="I77" i="12"/>
  <c r="G56" i="12"/>
  <c r="G64" i="12" s="1"/>
  <c r="G86" i="12"/>
  <c r="J107" i="11"/>
  <c r="H107" i="11"/>
  <c r="G107" i="11"/>
  <c r="B107" i="11"/>
  <c r="J96" i="11"/>
  <c r="I96" i="11"/>
  <c r="H96" i="11"/>
  <c r="G96" i="11"/>
  <c r="E96" i="11"/>
  <c r="J95" i="11"/>
  <c r="I95" i="11"/>
  <c r="H95" i="11"/>
  <c r="G95" i="11"/>
  <c r="F95" i="11" s="1"/>
  <c r="E95" i="11"/>
  <c r="J94" i="11"/>
  <c r="I94" i="11"/>
  <c r="H94" i="11"/>
  <c r="G94" i="11"/>
  <c r="E94" i="11"/>
  <c r="J93" i="11"/>
  <c r="I93" i="11"/>
  <c r="H93" i="11"/>
  <c r="G93" i="11"/>
  <c r="E93" i="11"/>
  <c r="J92" i="11"/>
  <c r="I92" i="11"/>
  <c r="H92" i="11"/>
  <c r="G92" i="11"/>
  <c r="E92" i="11"/>
  <c r="J91" i="11"/>
  <c r="I91" i="11"/>
  <c r="H91" i="11"/>
  <c r="G91" i="11"/>
  <c r="E91" i="11"/>
  <c r="J90" i="11"/>
  <c r="I90" i="11"/>
  <c r="H90" i="11"/>
  <c r="F90" i="11" s="1"/>
  <c r="G90" i="11"/>
  <c r="E90" i="11"/>
  <c r="J89" i="11"/>
  <c r="I89" i="11"/>
  <c r="H89" i="11"/>
  <c r="G89" i="11"/>
  <c r="E89" i="11"/>
  <c r="J88" i="11"/>
  <c r="I88" i="11"/>
  <c r="H88" i="11"/>
  <c r="G88" i="11"/>
  <c r="E88" i="11"/>
  <c r="J87" i="11"/>
  <c r="I87" i="11"/>
  <c r="H87" i="11"/>
  <c r="G87" i="11"/>
  <c r="E87" i="11"/>
  <c r="M86" i="11"/>
  <c r="L86" i="11"/>
  <c r="K86" i="11"/>
  <c r="J85" i="11"/>
  <c r="I85" i="11"/>
  <c r="H85" i="11"/>
  <c r="G85" i="11"/>
  <c r="F85" i="11" s="1"/>
  <c r="E85" i="11"/>
  <c r="J84" i="11"/>
  <c r="I84" i="11"/>
  <c r="H84" i="11"/>
  <c r="G84" i="11"/>
  <c r="E84" i="11"/>
  <c r="J83" i="11"/>
  <c r="I83" i="11"/>
  <c r="H83" i="11"/>
  <c r="G83" i="11"/>
  <c r="E83" i="11"/>
  <c r="J82" i="11"/>
  <c r="I82" i="11"/>
  <c r="H82" i="11"/>
  <c r="G82" i="11"/>
  <c r="E82" i="11"/>
  <c r="F81" i="11"/>
  <c r="J80" i="11"/>
  <c r="I80" i="11"/>
  <c r="H80" i="11"/>
  <c r="G80" i="11"/>
  <c r="E80" i="11"/>
  <c r="J79" i="11"/>
  <c r="I79" i="11"/>
  <c r="H79" i="11"/>
  <c r="G79" i="11"/>
  <c r="E79" i="11"/>
  <c r="J78" i="11"/>
  <c r="I78" i="11"/>
  <c r="H78" i="11"/>
  <c r="G78" i="11"/>
  <c r="E78" i="11"/>
  <c r="M77" i="11"/>
  <c r="L77" i="11"/>
  <c r="K77" i="11"/>
  <c r="M76" i="11"/>
  <c r="L76" i="11"/>
  <c r="K76" i="11"/>
  <c r="J76" i="11"/>
  <c r="I76" i="11"/>
  <c r="H76" i="11"/>
  <c r="G76" i="11"/>
  <c r="E76" i="11"/>
  <c r="M75" i="11"/>
  <c r="L75" i="11"/>
  <c r="K75" i="11"/>
  <c r="J75" i="11"/>
  <c r="I75" i="11"/>
  <c r="H75" i="11"/>
  <c r="G75" i="11"/>
  <c r="F75" i="11" s="1"/>
  <c r="E75" i="11"/>
  <c r="M74" i="11"/>
  <c r="L74" i="11"/>
  <c r="K74" i="11"/>
  <c r="J74" i="11"/>
  <c r="I74" i="11"/>
  <c r="H74" i="11"/>
  <c r="G74" i="11"/>
  <c r="E74" i="11"/>
  <c r="M73" i="11"/>
  <c r="L73" i="11"/>
  <c r="K73" i="11"/>
  <c r="J73" i="11"/>
  <c r="I73" i="11"/>
  <c r="H73" i="11"/>
  <c r="G73" i="11"/>
  <c r="E73" i="11"/>
  <c r="M72" i="11"/>
  <c r="L72" i="11"/>
  <c r="K72" i="11"/>
  <c r="J72" i="11"/>
  <c r="I72" i="11"/>
  <c r="H72" i="11"/>
  <c r="G72" i="11"/>
  <c r="E72" i="11"/>
  <c r="M71" i="11"/>
  <c r="L71" i="11"/>
  <c r="K71" i="11"/>
  <c r="J71" i="11"/>
  <c r="I71" i="11"/>
  <c r="H71" i="11"/>
  <c r="G71" i="11"/>
  <c r="E71" i="11"/>
  <c r="M70" i="11"/>
  <c r="L70" i="11"/>
  <c r="K70" i="11"/>
  <c r="J70" i="11"/>
  <c r="I70" i="11"/>
  <c r="H70" i="11"/>
  <c r="G70" i="11"/>
  <c r="E70" i="11"/>
  <c r="M69" i="11"/>
  <c r="L69" i="11"/>
  <c r="L68" i="11" s="1"/>
  <c r="L66" i="11" s="1"/>
  <c r="K69" i="11"/>
  <c r="J69" i="11"/>
  <c r="I69" i="11"/>
  <c r="H69" i="11"/>
  <c r="G69" i="11"/>
  <c r="E69" i="11"/>
  <c r="E68" i="11" s="1"/>
  <c r="M68" i="11"/>
  <c r="M66" i="11" s="1"/>
  <c r="K68" i="11"/>
  <c r="F67" i="11"/>
  <c r="J63" i="11"/>
  <c r="I63" i="11"/>
  <c r="H63" i="11"/>
  <c r="G63" i="11"/>
  <c r="E63" i="11"/>
  <c r="J62" i="11"/>
  <c r="I62" i="11"/>
  <c r="H62" i="11"/>
  <c r="G62" i="11"/>
  <c r="E62" i="11"/>
  <c r="F61" i="11"/>
  <c r="J60" i="11"/>
  <c r="I60" i="11"/>
  <c r="H60" i="11"/>
  <c r="G60" i="11"/>
  <c r="E60" i="11"/>
  <c r="J59" i="11"/>
  <c r="I59" i="11"/>
  <c r="H59" i="11"/>
  <c r="G59" i="11"/>
  <c r="E59" i="11"/>
  <c r="J58" i="11"/>
  <c r="I58" i="11"/>
  <c r="H58" i="11"/>
  <c r="G58" i="11"/>
  <c r="E58" i="11"/>
  <c r="J57" i="11"/>
  <c r="I57" i="11"/>
  <c r="H57" i="11"/>
  <c r="G57" i="11"/>
  <c r="E57" i="11"/>
  <c r="M56" i="11"/>
  <c r="L56" i="11"/>
  <c r="K56" i="11"/>
  <c r="J55" i="11"/>
  <c r="I55" i="11"/>
  <c r="H55" i="11"/>
  <c r="G55" i="11"/>
  <c r="F55" i="11"/>
  <c r="E55" i="11"/>
  <c r="J54" i="11"/>
  <c r="I54" i="11"/>
  <c r="H54" i="11"/>
  <c r="G54" i="11"/>
  <c r="E54" i="11"/>
  <c r="J53" i="11"/>
  <c r="I53" i="11"/>
  <c r="H53" i="11"/>
  <c r="G53" i="11"/>
  <c r="E53" i="11"/>
  <c r="J52" i="11"/>
  <c r="I52" i="11"/>
  <c r="H52" i="11"/>
  <c r="G52" i="11"/>
  <c r="E52" i="11"/>
  <c r="J51" i="11"/>
  <c r="I51" i="11"/>
  <c r="H51" i="11"/>
  <c r="G51" i="11"/>
  <c r="E51" i="11"/>
  <c r="J50" i="11"/>
  <c r="I50" i="11"/>
  <c r="H50" i="11"/>
  <c r="G50" i="11"/>
  <c r="E50" i="11"/>
  <c r="J49" i="11"/>
  <c r="I49" i="11"/>
  <c r="H49" i="11"/>
  <c r="G49" i="11"/>
  <c r="E49" i="11"/>
  <c r="J48" i="11"/>
  <c r="I48" i="11"/>
  <c r="H48" i="11"/>
  <c r="G48" i="11"/>
  <c r="E48" i="11"/>
  <c r="J47" i="11"/>
  <c r="I47" i="11"/>
  <c r="H47" i="11"/>
  <c r="G47" i="11"/>
  <c r="E47" i="11"/>
  <c r="J46" i="11"/>
  <c r="I46" i="11"/>
  <c r="H46" i="11"/>
  <c r="G46" i="11"/>
  <c r="E46" i="11"/>
  <c r="J45" i="11"/>
  <c r="I45" i="11"/>
  <c r="H45" i="11"/>
  <c r="G45" i="11"/>
  <c r="E45" i="11"/>
  <c r="J44" i="11"/>
  <c r="I44" i="11"/>
  <c r="H44" i="11"/>
  <c r="G44" i="11"/>
  <c r="E44" i="11"/>
  <c r="J43" i="11"/>
  <c r="I43" i="11"/>
  <c r="H43" i="11"/>
  <c r="G43" i="11"/>
  <c r="E43" i="11"/>
  <c r="J42" i="11"/>
  <c r="I42" i="11"/>
  <c r="H42" i="11"/>
  <c r="G42" i="11"/>
  <c r="E42" i="11"/>
  <c r="J41" i="11"/>
  <c r="I41" i="11"/>
  <c r="H41" i="11"/>
  <c r="G41" i="11"/>
  <c r="E41" i="11"/>
  <c r="J40" i="11"/>
  <c r="I40" i="11"/>
  <c r="H40" i="11"/>
  <c r="G40" i="11"/>
  <c r="E40" i="11"/>
  <c r="M38" i="11"/>
  <c r="L38" i="11"/>
  <c r="K38" i="11"/>
  <c r="J37" i="11"/>
  <c r="I37" i="11"/>
  <c r="H37" i="11"/>
  <c r="G37" i="11"/>
  <c r="E37" i="11"/>
  <c r="J36" i="11"/>
  <c r="I36" i="11"/>
  <c r="H36" i="11"/>
  <c r="G36" i="11"/>
  <c r="E36" i="11"/>
  <c r="F35" i="11"/>
  <c r="F34" i="11"/>
  <c r="J33" i="11"/>
  <c r="I33" i="11"/>
  <c r="H33" i="11"/>
  <c r="G33" i="11"/>
  <c r="E33" i="11"/>
  <c r="J32" i="11"/>
  <c r="I32" i="11"/>
  <c r="H32" i="11"/>
  <c r="G32" i="11"/>
  <c r="E32" i="11"/>
  <c r="J31" i="11"/>
  <c r="I31" i="11"/>
  <c r="H31" i="11"/>
  <c r="G31" i="11"/>
  <c r="E31" i="11"/>
  <c r="J30" i="11"/>
  <c r="I30" i="11"/>
  <c r="H30" i="11"/>
  <c r="G30" i="11"/>
  <c r="E30" i="11"/>
  <c r="J29" i="11"/>
  <c r="I29" i="11"/>
  <c r="H29" i="11"/>
  <c r="G29" i="11"/>
  <c r="E29" i="11"/>
  <c r="J28" i="11"/>
  <c r="I28" i="11"/>
  <c r="H28" i="11"/>
  <c r="G28" i="11"/>
  <c r="F28" i="11" s="1"/>
  <c r="E28" i="11"/>
  <c r="J27" i="11"/>
  <c r="I27" i="11"/>
  <c r="H27" i="11"/>
  <c r="G27" i="11"/>
  <c r="F27" i="11" s="1"/>
  <c r="E27" i="11"/>
  <c r="J26" i="11"/>
  <c r="I26" i="11"/>
  <c r="H26" i="11"/>
  <c r="G26" i="11"/>
  <c r="E26" i="11"/>
  <c r="M25" i="11"/>
  <c r="M22" i="11" s="1"/>
  <c r="M64" i="11" s="1"/>
  <c r="L25" i="11"/>
  <c r="L22" i="11" s="1"/>
  <c r="L64" i="11" s="1"/>
  <c r="K25" i="11"/>
  <c r="K22" i="11" s="1"/>
  <c r="K64" i="11" s="1"/>
  <c r="F24" i="11"/>
  <c r="J23" i="11"/>
  <c r="I23" i="11"/>
  <c r="H23" i="11"/>
  <c r="G23" i="11"/>
  <c r="E23" i="11"/>
  <c r="F15" i="11"/>
  <c r="E15" i="11"/>
  <c r="F13" i="11"/>
  <c r="E13" i="11"/>
  <c r="B13" i="11"/>
  <c r="I11" i="11"/>
  <c r="H11" i="11"/>
  <c r="F11" i="11"/>
  <c r="B11" i="11"/>
  <c r="B8" i="11"/>
  <c r="G65" i="12" l="1"/>
  <c r="G105" i="12"/>
  <c r="E65" i="12"/>
  <c r="E105" i="12"/>
  <c r="H105" i="12"/>
  <c r="H65" i="12"/>
  <c r="F68" i="12"/>
  <c r="F66" i="12" s="1"/>
  <c r="F65" i="12" s="1"/>
  <c r="I65" i="12"/>
  <c r="J105" i="12"/>
  <c r="M65" i="11"/>
  <c r="E86" i="11"/>
  <c r="G39" i="11"/>
  <c r="G38" i="11" s="1"/>
  <c r="F62" i="11"/>
  <c r="H86" i="11"/>
  <c r="H77" i="11"/>
  <c r="F47" i="11"/>
  <c r="F60" i="11"/>
  <c r="H56" i="11"/>
  <c r="F80" i="11"/>
  <c r="F84" i="11"/>
  <c r="F30" i="11"/>
  <c r="F29" i="11"/>
  <c r="F37" i="11"/>
  <c r="F49" i="11"/>
  <c r="F69" i="11"/>
  <c r="F71" i="11"/>
  <c r="F72" i="11"/>
  <c r="F74" i="11"/>
  <c r="F94" i="11"/>
  <c r="F26" i="11"/>
  <c r="F43" i="11"/>
  <c r="F79" i="11"/>
  <c r="F23" i="11"/>
  <c r="H25" i="11"/>
  <c r="F51" i="11"/>
  <c r="F76" i="11"/>
  <c r="I86" i="11"/>
  <c r="F31" i="11"/>
  <c r="J25" i="11"/>
  <c r="J22" i="11" s="1"/>
  <c r="F46" i="11"/>
  <c r="F52" i="11"/>
  <c r="F53" i="11"/>
  <c r="E56" i="11"/>
  <c r="I56" i="11"/>
  <c r="F70" i="11"/>
  <c r="F73" i="11"/>
  <c r="E77" i="11"/>
  <c r="E66" i="11" s="1"/>
  <c r="F36" i="11"/>
  <c r="F40" i="11"/>
  <c r="J39" i="11"/>
  <c r="J38" i="11" s="1"/>
  <c r="F57" i="11"/>
  <c r="J56" i="11"/>
  <c r="I68" i="11"/>
  <c r="J86" i="11"/>
  <c r="F89" i="11"/>
  <c r="F33" i="11"/>
  <c r="H39" i="11"/>
  <c r="H38" i="11" s="1"/>
  <c r="H64" i="11" s="1"/>
  <c r="E39" i="11"/>
  <c r="E38" i="11" s="1"/>
  <c r="F54" i="11"/>
  <c r="J68" i="11"/>
  <c r="F83" i="11"/>
  <c r="F92" i="11"/>
  <c r="E25" i="11"/>
  <c r="E22" i="11" s="1"/>
  <c r="I39" i="11"/>
  <c r="I38" i="11" s="1"/>
  <c r="F42" i="11"/>
  <c r="F45" i="11"/>
  <c r="F48" i="11"/>
  <c r="F59" i="11"/>
  <c r="F88" i="11"/>
  <c r="F91" i="11"/>
  <c r="K66" i="11"/>
  <c r="K65" i="11" s="1"/>
  <c r="F50" i="11"/>
  <c r="F63" i="11"/>
  <c r="J77" i="11"/>
  <c r="F96" i="11"/>
  <c r="I25" i="11"/>
  <c r="I22" i="11" s="1"/>
  <c r="F32" i="11"/>
  <c r="H22" i="11"/>
  <c r="F41" i="11"/>
  <c r="F44" i="11"/>
  <c r="F58" i="11"/>
  <c r="I77" i="11"/>
  <c r="F82" i="11"/>
  <c r="F87" i="11"/>
  <c r="F86" i="11" s="1"/>
  <c r="F93" i="11"/>
  <c r="L65" i="11"/>
  <c r="G25" i="11"/>
  <c r="G22" i="11" s="1"/>
  <c r="G68" i="11"/>
  <c r="H68" i="11"/>
  <c r="H66" i="11" s="1"/>
  <c r="G77" i="11"/>
  <c r="F78" i="11"/>
  <c r="G56" i="11"/>
  <c r="G86" i="11"/>
  <c r="J107" i="10"/>
  <c r="H107" i="10"/>
  <c r="G107" i="10"/>
  <c r="B107" i="10"/>
  <c r="J96" i="10"/>
  <c r="I96" i="10"/>
  <c r="H96" i="10"/>
  <c r="G96" i="10"/>
  <c r="E96" i="10"/>
  <c r="J95" i="10"/>
  <c r="I95" i="10"/>
  <c r="H95" i="10"/>
  <c r="G95" i="10"/>
  <c r="E95" i="10"/>
  <c r="J94" i="10"/>
  <c r="I94" i="10"/>
  <c r="H94" i="10"/>
  <c r="G94" i="10"/>
  <c r="E94" i="10"/>
  <c r="J93" i="10"/>
  <c r="I93" i="10"/>
  <c r="H93" i="10"/>
  <c r="G93" i="10"/>
  <c r="E93" i="10"/>
  <c r="J92" i="10"/>
  <c r="I92" i="10"/>
  <c r="H92" i="10"/>
  <c r="G92" i="10"/>
  <c r="E92" i="10"/>
  <c r="J91" i="10"/>
  <c r="I91" i="10"/>
  <c r="H91" i="10"/>
  <c r="G91" i="10"/>
  <c r="E91" i="10"/>
  <c r="J90" i="10"/>
  <c r="I90" i="10"/>
  <c r="H90" i="10"/>
  <c r="G90" i="10"/>
  <c r="E90" i="10"/>
  <c r="J89" i="10"/>
  <c r="I89" i="10"/>
  <c r="H89" i="10"/>
  <c r="G89" i="10"/>
  <c r="E89" i="10"/>
  <c r="J88" i="10"/>
  <c r="I88" i="10"/>
  <c r="H88" i="10"/>
  <c r="G88" i="10"/>
  <c r="G86" i="10" s="1"/>
  <c r="E88" i="10"/>
  <c r="J87" i="10"/>
  <c r="J86" i="10" s="1"/>
  <c r="I87" i="10"/>
  <c r="I86" i="10" s="1"/>
  <c r="H87" i="10"/>
  <c r="G87" i="10"/>
  <c r="E87" i="10"/>
  <c r="M86" i="10"/>
  <c r="L86" i="10"/>
  <c r="K86" i="10"/>
  <c r="J85" i="10"/>
  <c r="I85" i="10"/>
  <c r="H85" i="10"/>
  <c r="G85" i="10"/>
  <c r="E85" i="10"/>
  <c r="J84" i="10"/>
  <c r="I84" i="10"/>
  <c r="H84" i="10"/>
  <c r="G84" i="10"/>
  <c r="E84" i="10"/>
  <c r="J83" i="10"/>
  <c r="I83" i="10"/>
  <c r="H83" i="10"/>
  <c r="G83" i="10"/>
  <c r="E83" i="10"/>
  <c r="J82" i="10"/>
  <c r="I82" i="10"/>
  <c r="H82" i="10"/>
  <c r="G82" i="10"/>
  <c r="E82" i="10"/>
  <c r="F81" i="10"/>
  <c r="J80" i="10"/>
  <c r="I80" i="10"/>
  <c r="H80" i="10"/>
  <c r="G80" i="10"/>
  <c r="E80" i="10"/>
  <c r="J79" i="10"/>
  <c r="I79" i="10"/>
  <c r="H79" i="10"/>
  <c r="G79" i="10"/>
  <c r="E79" i="10"/>
  <c r="J78" i="10"/>
  <c r="I78" i="10"/>
  <c r="H78" i="10"/>
  <c r="G78" i="10"/>
  <c r="E78" i="10"/>
  <c r="M77" i="10"/>
  <c r="L77" i="10"/>
  <c r="K77" i="10"/>
  <c r="M76" i="10"/>
  <c r="L76" i="10"/>
  <c r="K76" i="10"/>
  <c r="J76" i="10"/>
  <c r="I76" i="10"/>
  <c r="H76" i="10"/>
  <c r="G76" i="10"/>
  <c r="E76" i="10"/>
  <c r="M75" i="10"/>
  <c r="L75" i="10"/>
  <c r="K75" i="10"/>
  <c r="J75" i="10"/>
  <c r="I75" i="10"/>
  <c r="H75" i="10"/>
  <c r="G75" i="10"/>
  <c r="E75" i="10"/>
  <c r="M74" i="10"/>
  <c r="L74" i="10"/>
  <c r="K74" i="10"/>
  <c r="J74" i="10"/>
  <c r="I74" i="10"/>
  <c r="H74" i="10"/>
  <c r="G74" i="10"/>
  <c r="E74" i="10"/>
  <c r="M73" i="10"/>
  <c r="L73" i="10"/>
  <c r="K73" i="10"/>
  <c r="J73" i="10"/>
  <c r="I73" i="10"/>
  <c r="H73" i="10"/>
  <c r="G73" i="10"/>
  <c r="E73" i="10"/>
  <c r="M72" i="10"/>
  <c r="L72" i="10"/>
  <c r="K72" i="10"/>
  <c r="J72" i="10"/>
  <c r="I72" i="10"/>
  <c r="H72" i="10"/>
  <c r="G72" i="10"/>
  <c r="E72" i="10"/>
  <c r="M71" i="10"/>
  <c r="L71" i="10"/>
  <c r="K71" i="10"/>
  <c r="J71" i="10"/>
  <c r="I71" i="10"/>
  <c r="H71" i="10"/>
  <c r="G71" i="10"/>
  <c r="E71" i="10"/>
  <c r="M70" i="10"/>
  <c r="L70" i="10"/>
  <c r="K70" i="10"/>
  <c r="J70" i="10"/>
  <c r="I70" i="10"/>
  <c r="H70" i="10"/>
  <c r="G70" i="10"/>
  <c r="E70" i="10"/>
  <c r="M69" i="10"/>
  <c r="M68" i="10" s="1"/>
  <c r="L69" i="10"/>
  <c r="K69" i="10"/>
  <c r="J69" i="10"/>
  <c r="J68" i="10" s="1"/>
  <c r="I69" i="10"/>
  <c r="I68" i="10" s="1"/>
  <c r="H69" i="10"/>
  <c r="G69" i="10"/>
  <c r="E69" i="10"/>
  <c r="E68" i="10" s="1"/>
  <c r="L68" i="10"/>
  <c r="K68" i="10"/>
  <c r="F67" i="10"/>
  <c r="J63" i="10"/>
  <c r="I63" i="10"/>
  <c r="H63" i="10"/>
  <c r="G63" i="10"/>
  <c r="E63" i="10"/>
  <c r="J62" i="10"/>
  <c r="I62" i="10"/>
  <c r="H62" i="10"/>
  <c r="G62" i="10"/>
  <c r="E62" i="10"/>
  <c r="F61" i="10"/>
  <c r="J60" i="10"/>
  <c r="I60" i="10"/>
  <c r="H60" i="10"/>
  <c r="G60" i="10"/>
  <c r="E60" i="10"/>
  <c r="J59" i="10"/>
  <c r="I59" i="10"/>
  <c r="H59" i="10"/>
  <c r="G59" i="10"/>
  <c r="E59" i="10"/>
  <c r="J58" i="10"/>
  <c r="I58" i="10"/>
  <c r="H58" i="10"/>
  <c r="G58" i="10"/>
  <c r="E58" i="10"/>
  <c r="J57" i="10"/>
  <c r="I57" i="10"/>
  <c r="H57" i="10"/>
  <c r="G57" i="10"/>
  <c r="E57" i="10"/>
  <c r="M56" i="10"/>
  <c r="L56" i="10"/>
  <c r="K56" i="10"/>
  <c r="J55" i="10"/>
  <c r="I55" i="10"/>
  <c r="H55" i="10"/>
  <c r="G55" i="10"/>
  <c r="E55" i="10"/>
  <c r="J54" i="10"/>
  <c r="I54" i="10"/>
  <c r="H54" i="10"/>
  <c r="G54" i="10"/>
  <c r="E54" i="10"/>
  <c r="J53" i="10"/>
  <c r="I53" i="10"/>
  <c r="H53" i="10"/>
  <c r="G53" i="10"/>
  <c r="E53" i="10"/>
  <c r="J52" i="10"/>
  <c r="I52" i="10"/>
  <c r="H52" i="10"/>
  <c r="G52" i="10"/>
  <c r="E52" i="10"/>
  <c r="J51" i="10"/>
  <c r="I51" i="10"/>
  <c r="H51" i="10"/>
  <c r="G51" i="10"/>
  <c r="E51" i="10"/>
  <c r="J50" i="10"/>
  <c r="I50" i="10"/>
  <c r="H50" i="10"/>
  <c r="G50" i="10"/>
  <c r="E50" i="10"/>
  <c r="J49" i="10"/>
  <c r="I49" i="10"/>
  <c r="H49" i="10"/>
  <c r="G49" i="10"/>
  <c r="E49" i="10"/>
  <c r="J48" i="10"/>
  <c r="I48" i="10"/>
  <c r="H48" i="10"/>
  <c r="G48" i="10"/>
  <c r="E48" i="10"/>
  <c r="J47" i="10"/>
  <c r="I47" i="10"/>
  <c r="H47" i="10"/>
  <c r="G47" i="10"/>
  <c r="E47" i="10"/>
  <c r="J46" i="10"/>
  <c r="I46" i="10"/>
  <c r="H46" i="10"/>
  <c r="G46" i="10"/>
  <c r="E46" i="10"/>
  <c r="J45" i="10"/>
  <c r="I45" i="10"/>
  <c r="H45" i="10"/>
  <c r="G45" i="10"/>
  <c r="E45" i="10"/>
  <c r="J44" i="10"/>
  <c r="I44" i="10"/>
  <c r="H44" i="10"/>
  <c r="G44" i="10"/>
  <c r="E44" i="10"/>
  <c r="J43" i="10"/>
  <c r="I43" i="10"/>
  <c r="H43" i="10"/>
  <c r="G43" i="10"/>
  <c r="E43" i="10"/>
  <c r="J42" i="10"/>
  <c r="I42" i="10"/>
  <c r="H42" i="10"/>
  <c r="G42" i="10"/>
  <c r="E42" i="10"/>
  <c r="J41" i="10"/>
  <c r="I41" i="10"/>
  <c r="H41" i="10"/>
  <c r="G41" i="10"/>
  <c r="E41" i="10"/>
  <c r="J40" i="10"/>
  <c r="I40" i="10"/>
  <c r="H40" i="10"/>
  <c r="G40" i="10"/>
  <c r="E40" i="10"/>
  <c r="M38" i="10"/>
  <c r="L38" i="10"/>
  <c r="K38" i="10"/>
  <c r="J37" i="10"/>
  <c r="I37" i="10"/>
  <c r="H37" i="10"/>
  <c r="G37" i="10"/>
  <c r="E37" i="10"/>
  <c r="J36" i="10"/>
  <c r="I36" i="10"/>
  <c r="H36" i="10"/>
  <c r="G36" i="10"/>
  <c r="E36" i="10"/>
  <c r="F35" i="10"/>
  <c r="F34" i="10"/>
  <c r="J33" i="10"/>
  <c r="I33" i="10"/>
  <c r="H33" i="10"/>
  <c r="G33" i="10"/>
  <c r="E33" i="10"/>
  <c r="J32" i="10"/>
  <c r="I32" i="10"/>
  <c r="H32" i="10"/>
  <c r="G32" i="10"/>
  <c r="E32" i="10"/>
  <c r="J31" i="10"/>
  <c r="I31" i="10"/>
  <c r="H31" i="10"/>
  <c r="G31" i="10"/>
  <c r="E31" i="10"/>
  <c r="J30" i="10"/>
  <c r="I30" i="10"/>
  <c r="H30" i="10"/>
  <c r="G30" i="10"/>
  <c r="E30" i="10"/>
  <c r="J29" i="10"/>
  <c r="I29" i="10"/>
  <c r="H29" i="10"/>
  <c r="G29" i="10"/>
  <c r="E29" i="10"/>
  <c r="J28" i="10"/>
  <c r="I28" i="10"/>
  <c r="H28" i="10"/>
  <c r="G28" i="10"/>
  <c r="E28" i="10"/>
  <c r="J27" i="10"/>
  <c r="I27" i="10"/>
  <c r="H27" i="10"/>
  <c r="G27" i="10"/>
  <c r="E27" i="10"/>
  <c r="J26" i="10"/>
  <c r="I26" i="10"/>
  <c r="H26" i="10"/>
  <c r="G26" i="10"/>
  <c r="E26" i="10"/>
  <c r="M25" i="10"/>
  <c r="M22" i="10" s="1"/>
  <c r="M64" i="10" s="1"/>
  <c r="L25" i="10"/>
  <c r="L22" i="10" s="1"/>
  <c r="L64" i="10" s="1"/>
  <c r="K25" i="10"/>
  <c r="K22" i="10" s="1"/>
  <c r="K64" i="10" s="1"/>
  <c r="F24" i="10"/>
  <c r="J23" i="10"/>
  <c r="I23" i="10"/>
  <c r="H23" i="10"/>
  <c r="G23" i="10"/>
  <c r="E23" i="10"/>
  <c r="F15" i="10"/>
  <c r="E15" i="10"/>
  <c r="B8" i="10" s="1"/>
  <c r="F13" i="10"/>
  <c r="E13" i="10"/>
  <c r="B13" i="10"/>
  <c r="I11" i="10"/>
  <c r="H11" i="10"/>
  <c r="F11" i="10"/>
  <c r="B11" i="10"/>
  <c r="F105" i="12" l="1"/>
  <c r="B65" i="12"/>
  <c r="B105" i="12"/>
  <c r="I64" i="11"/>
  <c r="F68" i="11"/>
  <c r="J66" i="11"/>
  <c r="F77" i="11"/>
  <c r="F66" i="11" s="1"/>
  <c r="E77" i="10"/>
  <c r="E66" i="10" s="1"/>
  <c r="G66" i="11"/>
  <c r="J77" i="10"/>
  <c r="J66" i="10" s="1"/>
  <c r="J64" i="11"/>
  <c r="J105" i="11" s="1"/>
  <c r="F76" i="10"/>
  <c r="F27" i="10"/>
  <c r="E56" i="10"/>
  <c r="E64" i="11"/>
  <c r="E105" i="11" s="1"/>
  <c r="F47" i="10"/>
  <c r="F55" i="10"/>
  <c r="L66" i="10"/>
  <c r="L65" i="10" s="1"/>
  <c r="M66" i="10"/>
  <c r="M65" i="10" s="1"/>
  <c r="F80" i="10"/>
  <c r="F89" i="10"/>
  <c r="F94" i="10"/>
  <c r="F56" i="11"/>
  <c r="G25" i="10"/>
  <c r="G22" i="10" s="1"/>
  <c r="F41" i="10"/>
  <c r="F49" i="10"/>
  <c r="I56" i="10"/>
  <c r="F79" i="10"/>
  <c r="F83" i="10"/>
  <c r="F39" i="11"/>
  <c r="F38" i="11" s="1"/>
  <c r="F28" i="10"/>
  <c r="F73" i="10"/>
  <c r="E86" i="10"/>
  <c r="E65" i="11"/>
  <c r="F23" i="10"/>
  <c r="F29" i="10"/>
  <c r="F37" i="10"/>
  <c r="F62" i="10"/>
  <c r="F90" i="10"/>
  <c r="F95" i="10"/>
  <c r="I66" i="11"/>
  <c r="F25" i="11"/>
  <c r="F22" i="11" s="1"/>
  <c r="F64" i="11" s="1"/>
  <c r="F60" i="10"/>
  <c r="K66" i="10"/>
  <c r="K65" i="10" s="1"/>
  <c r="I77" i="10"/>
  <c r="H105" i="11"/>
  <c r="H65" i="11"/>
  <c r="G64" i="11"/>
  <c r="I66" i="10"/>
  <c r="J25" i="10"/>
  <c r="J22" i="10" s="1"/>
  <c r="F45" i="10"/>
  <c r="F53" i="10"/>
  <c r="F71" i="10"/>
  <c r="F30" i="10"/>
  <c r="F33" i="10"/>
  <c r="F40" i="10"/>
  <c r="F42" i="10"/>
  <c r="F48" i="10"/>
  <c r="F50" i="10"/>
  <c r="G56" i="10"/>
  <c r="F63" i="10"/>
  <c r="F70" i="10"/>
  <c r="F74" i="10"/>
  <c r="F82" i="10"/>
  <c r="F84" i="10"/>
  <c r="F92" i="10"/>
  <c r="I25" i="10"/>
  <c r="I22" i="10" s="1"/>
  <c r="F26" i="10"/>
  <c r="F58" i="10"/>
  <c r="G39" i="10"/>
  <c r="G38" i="10" s="1"/>
  <c r="F44" i="10"/>
  <c r="F46" i="10"/>
  <c r="F52" i="10"/>
  <c r="F54" i="10"/>
  <c r="F57" i="10"/>
  <c r="F91" i="10"/>
  <c r="F51" i="10"/>
  <c r="F85" i="10"/>
  <c r="F96" i="10"/>
  <c r="E25" i="10"/>
  <c r="E22" i="10" s="1"/>
  <c r="E39" i="10"/>
  <c r="E38" i="10" s="1"/>
  <c r="F43" i="10"/>
  <c r="F31" i="10"/>
  <c r="F32" i="10"/>
  <c r="J39" i="10"/>
  <c r="J38" i="10" s="1"/>
  <c r="J56" i="10"/>
  <c r="F59" i="10"/>
  <c r="H77" i="10"/>
  <c r="F93" i="10"/>
  <c r="H25" i="10"/>
  <c r="H22" i="10" s="1"/>
  <c r="F36" i="10"/>
  <c r="H39" i="10"/>
  <c r="H38" i="10" s="1"/>
  <c r="F69" i="10"/>
  <c r="F72" i="10"/>
  <c r="F75" i="10"/>
  <c r="F87" i="10"/>
  <c r="H56" i="10"/>
  <c r="H86" i="10"/>
  <c r="G68" i="10"/>
  <c r="I39" i="10"/>
  <c r="I38" i="10" s="1"/>
  <c r="H68" i="10"/>
  <c r="G77" i="10"/>
  <c r="F78" i="10"/>
  <c r="F88" i="10"/>
  <c r="J107" i="9"/>
  <c r="H107" i="9"/>
  <c r="G107" i="9"/>
  <c r="B107" i="9"/>
  <c r="J96" i="9"/>
  <c r="I96" i="9"/>
  <c r="H96" i="9"/>
  <c r="G96" i="9"/>
  <c r="E96" i="9"/>
  <c r="J95" i="9"/>
  <c r="I95" i="9"/>
  <c r="H95" i="9"/>
  <c r="G95" i="9"/>
  <c r="E95" i="9"/>
  <c r="J94" i="9"/>
  <c r="I94" i="9"/>
  <c r="H94" i="9"/>
  <c r="G94" i="9"/>
  <c r="E94" i="9"/>
  <c r="J93" i="9"/>
  <c r="I93" i="9"/>
  <c r="H93" i="9"/>
  <c r="G93" i="9"/>
  <c r="E93" i="9"/>
  <c r="J92" i="9"/>
  <c r="I92" i="9"/>
  <c r="H92" i="9"/>
  <c r="G92" i="9"/>
  <c r="E92" i="9"/>
  <c r="J91" i="9"/>
  <c r="I91" i="9"/>
  <c r="H91" i="9"/>
  <c r="G91" i="9"/>
  <c r="E91" i="9"/>
  <c r="J90" i="9"/>
  <c r="I90" i="9"/>
  <c r="H90" i="9"/>
  <c r="G90" i="9"/>
  <c r="E90" i="9"/>
  <c r="J89" i="9"/>
  <c r="I89" i="9"/>
  <c r="H89" i="9"/>
  <c r="G89" i="9"/>
  <c r="E89" i="9"/>
  <c r="J88" i="9"/>
  <c r="I88" i="9"/>
  <c r="H88" i="9"/>
  <c r="G88" i="9"/>
  <c r="E88" i="9"/>
  <c r="J87" i="9"/>
  <c r="I87" i="9"/>
  <c r="H87" i="9"/>
  <c r="G87" i="9"/>
  <c r="E87" i="9"/>
  <c r="M86" i="9"/>
  <c r="L86" i="9"/>
  <c r="K86" i="9"/>
  <c r="J85" i="9"/>
  <c r="I85" i="9"/>
  <c r="H85" i="9"/>
  <c r="G85" i="9"/>
  <c r="E85" i="9"/>
  <c r="J84" i="9"/>
  <c r="I84" i="9"/>
  <c r="H84" i="9"/>
  <c r="G84" i="9"/>
  <c r="E84" i="9"/>
  <c r="J83" i="9"/>
  <c r="I83" i="9"/>
  <c r="H83" i="9"/>
  <c r="G83" i="9"/>
  <c r="E83" i="9"/>
  <c r="J82" i="9"/>
  <c r="I82" i="9"/>
  <c r="H82" i="9"/>
  <c r="G82" i="9"/>
  <c r="E82" i="9"/>
  <c r="F81" i="9"/>
  <c r="J80" i="9"/>
  <c r="I80" i="9"/>
  <c r="H80" i="9"/>
  <c r="G80" i="9"/>
  <c r="E80" i="9"/>
  <c r="J79" i="9"/>
  <c r="I79" i="9"/>
  <c r="H79" i="9"/>
  <c r="G79" i="9"/>
  <c r="E79" i="9"/>
  <c r="J78" i="9"/>
  <c r="I78" i="9"/>
  <c r="H78" i="9"/>
  <c r="G78" i="9"/>
  <c r="E78" i="9"/>
  <c r="M77" i="9"/>
  <c r="L77" i="9"/>
  <c r="K77" i="9"/>
  <c r="M76" i="9"/>
  <c r="L76" i="9"/>
  <c r="K76" i="9"/>
  <c r="J76" i="9"/>
  <c r="I76" i="9"/>
  <c r="H76" i="9"/>
  <c r="G76" i="9"/>
  <c r="E76" i="9"/>
  <c r="M75" i="9"/>
  <c r="L75" i="9"/>
  <c r="K75" i="9"/>
  <c r="J75" i="9"/>
  <c r="I75" i="9"/>
  <c r="H75" i="9"/>
  <c r="G75" i="9"/>
  <c r="E75" i="9"/>
  <c r="M74" i="9"/>
  <c r="L74" i="9"/>
  <c r="K74" i="9"/>
  <c r="J74" i="9"/>
  <c r="I74" i="9"/>
  <c r="H74" i="9"/>
  <c r="G74" i="9"/>
  <c r="E74" i="9"/>
  <c r="M73" i="9"/>
  <c r="L73" i="9"/>
  <c r="K73" i="9"/>
  <c r="J73" i="9"/>
  <c r="I73" i="9"/>
  <c r="H73" i="9"/>
  <c r="G73" i="9"/>
  <c r="E73" i="9"/>
  <c r="M72" i="9"/>
  <c r="L72" i="9"/>
  <c r="K72" i="9"/>
  <c r="J72" i="9"/>
  <c r="I72" i="9"/>
  <c r="H72" i="9"/>
  <c r="G72" i="9"/>
  <c r="E72" i="9"/>
  <c r="M71" i="9"/>
  <c r="L71" i="9"/>
  <c r="K71" i="9"/>
  <c r="J71" i="9"/>
  <c r="I71" i="9"/>
  <c r="H71" i="9"/>
  <c r="G71" i="9"/>
  <c r="E71" i="9"/>
  <c r="M70" i="9"/>
  <c r="L70" i="9"/>
  <c r="K70" i="9"/>
  <c r="J70" i="9"/>
  <c r="I70" i="9"/>
  <c r="H70" i="9"/>
  <c r="G70" i="9"/>
  <c r="E70" i="9"/>
  <c r="M69" i="9"/>
  <c r="L69" i="9"/>
  <c r="K69" i="9"/>
  <c r="K68" i="9" s="1"/>
  <c r="J69" i="9"/>
  <c r="I69" i="9"/>
  <c r="H69" i="9"/>
  <c r="G69" i="9"/>
  <c r="E69" i="9"/>
  <c r="M68" i="9"/>
  <c r="L68" i="9"/>
  <c r="F67" i="9"/>
  <c r="J63" i="9"/>
  <c r="I63" i="9"/>
  <c r="H63" i="9"/>
  <c r="G63" i="9"/>
  <c r="E63" i="9"/>
  <c r="J62" i="9"/>
  <c r="I62" i="9"/>
  <c r="H62" i="9"/>
  <c r="G62" i="9"/>
  <c r="E62" i="9"/>
  <c r="F61" i="9"/>
  <c r="J60" i="9"/>
  <c r="I60" i="9"/>
  <c r="H60" i="9"/>
  <c r="G60" i="9"/>
  <c r="E60" i="9"/>
  <c r="J59" i="9"/>
  <c r="I59" i="9"/>
  <c r="H59" i="9"/>
  <c r="G59" i="9"/>
  <c r="E59" i="9"/>
  <c r="J58" i="9"/>
  <c r="I58" i="9"/>
  <c r="H58" i="9"/>
  <c r="G58" i="9"/>
  <c r="E58" i="9"/>
  <c r="J57" i="9"/>
  <c r="I57" i="9"/>
  <c r="H57" i="9"/>
  <c r="G57" i="9"/>
  <c r="E57" i="9"/>
  <c r="M56" i="9"/>
  <c r="L56" i="9"/>
  <c r="K56" i="9"/>
  <c r="J55" i="9"/>
  <c r="I55" i="9"/>
  <c r="H55" i="9"/>
  <c r="G55" i="9"/>
  <c r="E55" i="9"/>
  <c r="J54" i="9"/>
  <c r="I54" i="9"/>
  <c r="H54" i="9"/>
  <c r="G54" i="9"/>
  <c r="E54" i="9"/>
  <c r="J53" i="9"/>
  <c r="I53" i="9"/>
  <c r="H53" i="9"/>
  <c r="G53" i="9"/>
  <c r="E53" i="9"/>
  <c r="J52" i="9"/>
  <c r="I52" i="9"/>
  <c r="H52" i="9"/>
  <c r="G52" i="9"/>
  <c r="E52" i="9"/>
  <c r="J51" i="9"/>
  <c r="I51" i="9"/>
  <c r="H51" i="9"/>
  <c r="G51" i="9"/>
  <c r="E51" i="9"/>
  <c r="J50" i="9"/>
  <c r="I50" i="9"/>
  <c r="H50" i="9"/>
  <c r="G50" i="9"/>
  <c r="E50" i="9"/>
  <c r="J49" i="9"/>
  <c r="I49" i="9"/>
  <c r="H49" i="9"/>
  <c r="G49" i="9"/>
  <c r="E49" i="9"/>
  <c r="J48" i="9"/>
  <c r="I48" i="9"/>
  <c r="H48" i="9"/>
  <c r="G48" i="9"/>
  <c r="E48" i="9"/>
  <c r="J47" i="9"/>
  <c r="I47" i="9"/>
  <c r="H47" i="9"/>
  <c r="G47" i="9"/>
  <c r="E47" i="9"/>
  <c r="J46" i="9"/>
  <c r="I46" i="9"/>
  <c r="H46" i="9"/>
  <c r="G46" i="9"/>
  <c r="E46" i="9"/>
  <c r="J45" i="9"/>
  <c r="I45" i="9"/>
  <c r="H45" i="9"/>
  <c r="G45" i="9"/>
  <c r="E45" i="9"/>
  <c r="J44" i="9"/>
  <c r="I44" i="9"/>
  <c r="H44" i="9"/>
  <c r="G44" i="9"/>
  <c r="E44" i="9"/>
  <c r="J43" i="9"/>
  <c r="I43" i="9"/>
  <c r="H43" i="9"/>
  <c r="G43" i="9"/>
  <c r="E43" i="9"/>
  <c r="J42" i="9"/>
  <c r="I42" i="9"/>
  <c r="H42" i="9"/>
  <c r="G42" i="9"/>
  <c r="E42" i="9"/>
  <c r="J41" i="9"/>
  <c r="I41" i="9"/>
  <c r="H41" i="9"/>
  <c r="G41" i="9"/>
  <c r="E41" i="9"/>
  <c r="J40" i="9"/>
  <c r="I40" i="9"/>
  <c r="H40" i="9"/>
  <c r="G40" i="9"/>
  <c r="E40" i="9"/>
  <c r="M38" i="9"/>
  <c r="L38" i="9"/>
  <c r="K38" i="9"/>
  <c r="J37" i="9"/>
  <c r="I37" i="9"/>
  <c r="H37" i="9"/>
  <c r="G37" i="9"/>
  <c r="E37" i="9"/>
  <c r="J36" i="9"/>
  <c r="I36" i="9"/>
  <c r="H36" i="9"/>
  <c r="G36" i="9"/>
  <c r="E36" i="9"/>
  <c r="F35" i="9"/>
  <c r="F34" i="9"/>
  <c r="J33" i="9"/>
  <c r="I33" i="9"/>
  <c r="H33" i="9"/>
  <c r="G33" i="9"/>
  <c r="E33" i="9"/>
  <c r="J32" i="9"/>
  <c r="I32" i="9"/>
  <c r="H32" i="9"/>
  <c r="G32" i="9"/>
  <c r="E32" i="9"/>
  <c r="J31" i="9"/>
  <c r="I31" i="9"/>
  <c r="H31" i="9"/>
  <c r="G31" i="9"/>
  <c r="E31" i="9"/>
  <c r="J30" i="9"/>
  <c r="I30" i="9"/>
  <c r="H30" i="9"/>
  <c r="G30" i="9"/>
  <c r="E30" i="9"/>
  <c r="J29" i="9"/>
  <c r="I29" i="9"/>
  <c r="H29" i="9"/>
  <c r="G29" i="9"/>
  <c r="E29" i="9"/>
  <c r="J28" i="9"/>
  <c r="I28" i="9"/>
  <c r="H28" i="9"/>
  <c r="G28" i="9"/>
  <c r="E28" i="9"/>
  <c r="J27" i="9"/>
  <c r="I27" i="9"/>
  <c r="H27" i="9"/>
  <c r="G27" i="9"/>
  <c r="E27" i="9"/>
  <c r="J26" i="9"/>
  <c r="I26" i="9"/>
  <c r="H26" i="9"/>
  <c r="G26" i="9"/>
  <c r="E26" i="9"/>
  <c r="M25" i="9"/>
  <c r="M22" i="9" s="1"/>
  <c r="M64" i="9" s="1"/>
  <c r="L25" i="9"/>
  <c r="L22" i="9" s="1"/>
  <c r="L64" i="9" s="1"/>
  <c r="K25" i="9"/>
  <c r="K22" i="9" s="1"/>
  <c r="K64" i="9" s="1"/>
  <c r="F24" i="9"/>
  <c r="J23" i="9"/>
  <c r="I23" i="9"/>
  <c r="H23" i="9"/>
  <c r="G23" i="9"/>
  <c r="E23" i="9"/>
  <c r="F15" i="9"/>
  <c r="E15" i="9"/>
  <c r="F13" i="9"/>
  <c r="E13" i="9"/>
  <c r="B13" i="9"/>
  <c r="I11" i="9"/>
  <c r="H11" i="9"/>
  <c r="F11" i="9"/>
  <c r="B11" i="9"/>
  <c r="B8" i="9"/>
  <c r="E64" i="10" l="1"/>
  <c r="J65" i="11"/>
  <c r="I105" i="11"/>
  <c r="F105" i="11"/>
  <c r="I64" i="10"/>
  <c r="I105" i="10" s="1"/>
  <c r="E77" i="9"/>
  <c r="G86" i="9"/>
  <c r="F32" i="9"/>
  <c r="F86" i="10"/>
  <c r="G64" i="10"/>
  <c r="F29" i="9"/>
  <c r="F59" i="9"/>
  <c r="F83" i="9"/>
  <c r="I65" i="11"/>
  <c r="F26" i="9"/>
  <c r="F56" i="10"/>
  <c r="K66" i="9"/>
  <c r="F42" i="9"/>
  <c r="J86" i="9"/>
  <c r="G65" i="11"/>
  <c r="G105" i="11"/>
  <c r="F65" i="11"/>
  <c r="F91" i="9"/>
  <c r="H64" i="10"/>
  <c r="H65" i="10" s="1"/>
  <c r="F28" i="9"/>
  <c r="F45" i="9"/>
  <c r="F25" i="10"/>
  <c r="F22" i="10" s="1"/>
  <c r="I39" i="9"/>
  <c r="I38" i="9" s="1"/>
  <c r="F77" i="10"/>
  <c r="J64" i="10"/>
  <c r="J65" i="10" s="1"/>
  <c r="M66" i="9"/>
  <c r="M65" i="9" s="1"/>
  <c r="H66" i="10"/>
  <c r="H105" i="10" s="1"/>
  <c r="F68" i="10"/>
  <c r="F49" i="9"/>
  <c r="E65" i="10"/>
  <c r="E105" i="10"/>
  <c r="F46" i="9"/>
  <c r="F54" i="9"/>
  <c r="F70" i="9"/>
  <c r="F71" i="9"/>
  <c r="F72" i="9"/>
  <c r="F73" i="9"/>
  <c r="F79" i="9"/>
  <c r="E86" i="9"/>
  <c r="F39" i="10"/>
  <c r="F38" i="10" s="1"/>
  <c r="I25" i="9"/>
  <c r="I22" i="9" s="1"/>
  <c r="F40" i="9"/>
  <c r="H68" i="9"/>
  <c r="H39" i="9"/>
  <c r="F48" i="9"/>
  <c r="F58" i="9"/>
  <c r="F93" i="9"/>
  <c r="F96" i="9"/>
  <c r="F36" i="9"/>
  <c r="J39" i="9"/>
  <c r="J38" i="9" s="1"/>
  <c r="F53" i="9"/>
  <c r="I56" i="9"/>
  <c r="F78" i="9"/>
  <c r="F33" i="9"/>
  <c r="G56" i="9"/>
  <c r="F60" i="9"/>
  <c r="F41" i="9"/>
  <c r="J77" i="9"/>
  <c r="F84" i="9"/>
  <c r="F89" i="9"/>
  <c r="F92" i="9"/>
  <c r="G66" i="10"/>
  <c r="I68" i="9"/>
  <c r="J56" i="9"/>
  <c r="J68" i="9"/>
  <c r="H77" i="9"/>
  <c r="L66" i="9"/>
  <c r="L65" i="9" s="1"/>
  <c r="F94" i="9"/>
  <c r="F95" i="9"/>
  <c r="F43" i="9"/>
  <c r="F80" i="9"/>
  <c r="F51" i="9"/>
  <c r="E56" i="9"/>
  <c r="F63" i="9"/>
  <c r="I77" i="9"/>
  <c r="F88" i="9"/>
  <c r="F27" i="9"/>
  <c r="H25" i="9"/>
  <c r="H22" i="9" s="1"/>
  <c r="F37" i="9"/>
  <c r="F44" i="9"/>
  <c r="F50" i="9"/>
  <c r="F69" i="9"/>
  <c r="E68" i="9"/>
  <c r="F82" i="9"/>
  <c r="I86" i="9"/>
  <c r="H38" i="9"/>
  <c r="F55" i="9"/>
  <c r="F62" i="9"/>
  <c r="F90" i="9"/>
  <c r="E25" i="9"/>
  <c r="E22" i="9" s="1"/>
  <c r="F76" i="9"/>
  <c r="F23" i="9"/>
  <c r="F30" i="9"/>
  <c r="J25" i="9"/>
  <c r="J22" i="9" s="1"/>
  <c r="E39" i="9"/>
  <c r="E38" i="9" s="1"/>
  <c r="F47" i="9"/>
  <c r="F52" i="9"/>
  <c r="H56" i="9"/>
  <c r="G77" i="9"/>
  <c r="F85" i="9"/>
  <c r="K65" i="9"/>
  <c r="F31" i="9"/>
  <c r="F75" i="9"/>
  <c r="H86" i="9"/>
  <c r="G25" i="9"/>
  <c r="G22" i="9" s="1"/>
  <c r="G39" i="9"/>
  <c r="G38" i="9" s="1"/>
  <c r="F57" i="9"/>
  <c r="F74" i="9"/>
  <c r="F87" i="9"/>
  <c r="G68" i="9"/>
  <c r="J107" i="8"/>
  <c r="H107" i="8"/>
  <c r="G107" i="8"/>
  <c r="B107" i="8"/>
  <c r="J96" i="8"/>
  <c r="I96" i="8"/>
  <c r="H96" i="8"/>
  <c r="G96" i="8"/>
  <c r="E96" i="8"/>
  <c r="J95" i="8"/>
  <c r="I95" i="8"/>
  <c r="H95" i="8"/>
  <c r="G95" i="8"/>
  <c r="E95" i="8"/>
  <c r="J94" i="8"/>
  <c r="I94" i="8"/>
  <c r="H94" i="8"/>
  <c r="G94" i="8"/>
  <c r="E94" i="8"/>
  <c r="J93" i="8"/>
  <c r="I93" i="8"/>
  <c r="H93" i="8"/>
  <c r="G93" i="8"/>
  <c r="E93" i="8"/>
  <c r="J92" i="8"/>
  <c r="I92" i="8"/>
  <c r="H92" i="8"/>
  <c r="G92" i="8"/>
  <c r="E92" i="8"/>
  <c r="J91" i="8"/>
  <c r="I91" i="8"/>
  <c r="H91" i="8"/>
  <c r="G91" i="8"/>
  <c r="E91" i="8"/>
  <c r="J90" i="8"/>
  <c r="I90" i="8"/>
  <c r="H90" i="8"/>
  <c r="G90" i="8"/>
  <c r="E90" i="8"/>
  <c r="J89" i="8"/>
  <c r="I89" i="8"/>
  <c r="H89" i="8"/>
  <c r="G89" i="8"/>
  <c r="E89" i="8"/>
  <c r="J88" i="8"/>
  <c r="I88" i="8"/>
  <c r="H88" i="8"/>
  <c r="G88" i="8"/>
  <c r="E88" i="8"/>
  <c r="J87" i="8"/>
  <c r="I87" i="8"/>
  <c r="H87" i="8"/>
  <c r="G87" i="8"/>
  <c r="E87" i="8"/>
  <c r="M86" i="8"/>
  <c r="L86" i="8"/>
  <c r="K86" i="8"/>
  <c r="J85" i="8"/>
  <c r="I85" i="8"/>
  <c r="H85" i="8"/>
  <c r="G85" i="8"/>
  <c r="E85" i="8"/>
  <c r="J84" i="8"/>
  <c r="I84" i="8"/>
  <c r="H84" i="8"/>
  <c r="G84" i="8"/>
  <c r="E84" i="8"/>
  <c r="J83" i="8"/>
  <c r="I83" i="8"/>
  <c r="H83" i="8"/>
  <c r="G83" i="8"/>
  <c r="E83" i="8"/>
  <c r="J82" i="8"/>
  <c r="I82" i="8"/>
  <c r="H82" i="8"/>
  <c r="G82" i="8"/>
  <c r="E82" i="8"/>
  <c r="F81" i="8"/>
  <c r="J80" i="8"/>
  <c r="I80" i="8"/>
  <c r="H80" i="8"/>
  <c r="G80" i="8"/>
  <c r="E80" i="8"/>
  <c r="J79" i="8"/>
  <c r="I79" i="8"/>
  <c r="H79" i="8"/>
  <c r="G79" i="8"/>
  <c r="E79" i="8"/>
  <c r="J78" i="8"/>
  <c r="I78" i="8"/>
  <c r="H78" i="8"/>
  <c r="G78" i="8"/>
  <c r="E78" i="8"/>
  <c r="M77" i="8"/>
  <c r="L77" i="8"/>
  <c r="K77" i="8"/>
  <c r="M76" i="8"/>
  <c r="L76" i="8"/>
  <c r="K76" i="8"/>
  <c r="J76" i="8"/>
  <c r="I76" i="8"/>
  <c r="H76" i="8"/>
  <c r="G76" i="8"/>
  <c r="E76" i="8"/>
  <c r="M75" i="8"/>
  <c r="L75" i="8"/>
  <c r="K75" i="8"/>
  <c r="J75" i="8"/>
  <c r="I75" i="8"/>
  <c r="H75" i="8"/>
  <c r="G75" i="8"/>
  <c r="E75" i="8"/>
  <c r="M74" i="8"/>
  <c r="L74" i="8"/>
  <c r="K74" i="8"/>
  <c r="J74" i="8"/>
  <c r="I74" i="8"/>
  <c r="H74" i="8"/>
  <c r="G74" i="8"/>
  <c r="E74" i="8"/>
  <c r="M73" i="8"/>
  <c r="L73" i="8"/>
  <c r="K73" i="8"/>
  <c r="J73" i="8"/>
  <c r="I73" i="8"/>
  <c r="H73" i="8"/>
  <c r="G73" i="8"/>
  <c r="E73" i="8"/>
  <c r="M72" i="8"/>
  <c r="L72" i="8"/>
  <c r="K72" i="8"/>
  <c r="J72" i="8"/>
  <c r="I72" i="8"/>
  <c r="H72" i="8"/>
  <c r="G72" i="8"/>
  <c r="E72" i="8"/>
  <c r="M71" i="8"/>
  <c r="L71" i="8"/>
  <c r="K71" i="8"/>
  <c r="J71" i="8"/>
  <c r="I71" i="8"/>
  <c r="H71" i="8"/>
  <c r="G71" i="8"/>
  <c r="E71" i="8"/>
  <c r="M70" i="8"/>
  <c r="L70" i="8"/>
  <c r="K70" i="8"/>
  <c r="J70" i="8"/>
  <c r="I70" i="8"/>
  <c r="H70" i="8"/>
  <c r="G70" i="8"/>
  <c r="E70" i="8"/>
  <c r="M69" i="8"/>
  <c r="L69" i="8"/>
  <c r="L68" i="8" s="1"/>
  <c r="K69" i="8"/>
  <c r="K68" i="8" s="1"/>
  <c r="J69" i="8"/>
  <c r="I69" i="8"/>
  <c r="H69" i="8"/>
  <c r="H68" i="8" s="1"/>
  <c r="G69" i="8"/>
  <c r="E69" i="8"/>
  <c r="M68" i="8"/>
  <c r="M66" i="8" s="1"/>
  <c r="F67" i="8"/>
  <c r="J63" i="8"/>
  <c r="I63" i="8"/>
  <c r="H63" i="8"/>
  <c r="G63" i="8"/>
  <c r="E63" i="8"/>
  <c r="J62" i="8"/>
  <c r="I62" i="8"/>
  <c r="H62" i="8"/>
  <c r="G62" i="8"/>
  <c r="E62" i="8"/>
  <c r="F61" i="8"/>
  <c r="J60" i="8"/>
  <c r="I60" i="8"/>
  <c r="H60" i="8"/>
  <c r="G60" i="8"/>
  <c r="E60" i="8"/>
  <c r="J59" i="8"/>
  <c r="I59" i="8"/>
  <c r="H59" i="8"/>
  <c r="G59" i="8"/>
  <c r="E59" i="8"/>
  <c r="J58" i="8"/>
  <c r="I58" i="8"/>
  <c r="H58" i="8"/>
  <c r="G58" i="8"/>
  <c r="E58" i="8"/>
  <c r="J57" i="8"/>
  <c r="I57" i="8"/>
  <c r="H57" i="8"/>
  <c r="G57" i="8"/>
  <c r="E57" i="8"/>
  <c r="M56" i="8"/>
  <c r="L56" i="8"/>
  <c r="K56" i="8"/>
  <c r="J55" i="8"/>
  <c r="I55" i="8"/>
  <c r="H55" i="8"/>
  <c r="G55" i="8"/>
  <c r="E55" i="8"/>
  <c r="J54" i="8"/>
  <c r="I54" i="8"/>
  <c r="H54" i="8"/>
  <c r="G54" i="8"/>
  <c r="E54" i="8"/>
  <c r="J53" i="8"/>
  <c r="I53" i="8"/>
  <c r="H53" i="8"/>
  <c r="G53" i="8"/>
  <c r="E53" i="8"/>
  <c r="J52" i="8"/>
  <c r="I52" i="8"/>
  <c r="H52" i="8"/>
  <c r="G52" i="8"/>
  <c r="E52" i="8"/>
  <c r="J51" i="8"/>
  <c r="I51" i="8"/>
  <c r="H51" i="8"/>
  <c r="G51" i="8"/>
  <c r="E51" i="8"/>
  <c r="J50" i="8"/>
  <c r="I50" i="8"/>
  <c r="H50" i="8"/>
  <c r="G50" i="8"/>
  <c r="E50" i="8"/>
  <c r="J49" i="8"/>
  <c r="I49" i="8"/>
  <c r="H49" i="8"/>
  <c r="G49" i="8"/>
  <c r="E49" i="8"/>
  <c r="J48" i="8"/>
  <c r="I48" i="8"/>
  <c r="H48" i="8"/>
  <c r="G48" i="8"/>
  <c r="E48" i="8"/>
  <c r="J47" i="8"/>
  <c r="I47" i="8"/>
  <c r="H47" i="8"/>
  <c r="G47" i="8"/>
  <c r="E47" i="8"/>
  <c r="J46" i="8"/>
  <c r="I46" i="8"/>
  <c r="H46" i="8"/>
  <c r="G46" i="8"/>
  <c r="E46" i="8"/>
  <c r="J45" i="8"/>
  <c r="I45" i="8"/>
  <c r="H45" i="8"/>
  <c r="G45" i="8"/>
  <c r="E45" i="8"/>
  <c r="J44" i="8"/>
  <c r="I44" i="8"/>
  <c r="H44" i="8"/>
  <c r="G44" i="8"/>
  <c r="E44" i="8"/>
  <c r="J43" i="8"/>
  <c r="I43" i="8"/>
  <c r="H43" i="8"/>
  <c r="G43" i="8"/>
  <c r="E43" i="8"/>
  <c r="J42" i="8"/>
  <c r="I42" i="8"/>
  <c r="H42" i="8"/>
  <c r="G42" i="8"/>
  <c r="E42" i="8"/>
  <c r="J41" i="8"/>
  <c r="I41" i="8"/>
  <c r="H41" i="8"/>
  <c r="G41" i="8"/>
  <c r="E41" i="8"/>
  <c r="J40" i="8"/>
  <c r="I40" i="8"/>
  <c r="H40" i="8"/>
  <c r="G40" i="8"/>
  <c r="E40" i="8"/>
  <c r="M38" i="8"/>
  <c r="L38" i="8"/>
  <c r="K38" i="8"/>
  <c r="J37" i="8"/>
  <c r="I37" i="8"/>
  <c r="H37" i="8"/>
  <c r="G37" i="8"/>
  <c r="E37" i="8"/>
  <c r="J36" i="8"/>
  <c r="I36" i="8"/>
  <c r="H36" i="8"/>
  <c r="G36" i="8"/>
  <c r="E36" i="8"/>
  <c r="F35" i="8"/>
  <c r="F34" i="8"/>
  <c r="J33" i="8"/>
  <c r="I33" i="8"/>
  <c r="H33" i="8"/>
  <c r="G33" i="8"/>
  <c r="E33" i="8"/>
  <c r="J32" i="8"/>
  <c r="I32" i="8"/>
  <c r="H32" i="8"/>
  <c r="G32" i="8"/>
  <c r="E32" i="8"/>
  <c r="J31" i="8"/>
  <c r="I31" i="8"/>
  <c r="H31" i="8"/>
  <c r="G31" i="8"/>
  <c r="E31" i="8"/>
  <c r="J30" i="8"/>
  <c r="I30" i="8"/>
  <c r="H30" i="8"/>
  <c r="G30" i="8"/>
  <c r="E30" i="8"/>
  <c r="J29" i="8"/>
  <c r="I29" i="8"/>
  <c r="H29" i="8"/>
  <c r="G29" i="8"/>
  <c r="E29" i="8"/>
  <c r="J28" i="8"/>
  <c r="I28" i="8"/>
  <c r="H28" i="8"/>
  <c r="G28" i="8"/>
  <c r="E28" i="8"/>
  <c r="J27" i="8"/>
  <c r="I27" i="8"/>
  <c r="H27" i="8"/>
  <c r="G27" i="8"/>
  <c r="E27" i="8"/>
  <c r="J26" i="8"/>
  <c r="I26" i="8"/>
  <c r="H26" i="8"/>
  <c r="G26" i="8"/>
  <c r="E26" i="8"/>
  <c r="M25" i="8"/>
  <c r="M22" i="8" s="1"/>
  <c r="M64" i="8" s="1"/>
  <c r="L25" i="8"/>
  <c r="L22" i="8" s="1"/>
  <c r="L64" i="8" s="1"/>
  <c r="K25" i="8"/>
  <c r="K22" i="8" s="1"/>
  <c r="F24" i="8"/>
  <c r="J23" i="8"/>
  <c r="I23" i="8"/>
  <c r="H23" i="8"/>
  <c r="G23" i="8"/>
  <c r="E23" i="8"/>
  <c r="F15" i="8"/>
  <c r="E15" i="8"/>
  <c r="F13" i="8"/>
  <c r="E13" i="8"/>
  <c r="B13" i="8"/>
  <c r="I11" i="8"/>
  <c r="H11" i="8"/>
  <c r="F11" i="8"/>
  <c r="B11" i="8"/>
  <c r="B8" i="8"/>
  <c r="J107" i="7"/>
  <c r="H107" i="7"/>
  <c r="G107" i="7"/>
  <c r="B107" i="7"/>
  <c r="J96" i="7"/>
  <c r="I96" i="7"/>
  <c r="H96" i="7"/>
  <c r="G96" i="7"/>
  <c r="E96" i="7"/>
  <c r="J95" i="7"/>
  <c r="I95" i="7"/>
  <c r="H95" i="7"/>
  <c r="G95" i="7"/>
  <c r="E95" i="7"/>
  <c r="J94" i="7"/>
  <c r="I94" i="7"/>
  <c r="H94" i="7"/>
  <c r="G94" i="7"/>
  <c r="E94" i="7"/>
  <c r="J93" i="7"/>
  <c r="I93" i="7"/>
  <c r="H93" i="7"/>
  <c r="G93" i="7"/>
  <c r="E93" i="7"/>
  <c r="J92" i="7"/>
  <c r="I92" i="7"/>
  <c r="H92" i="7"/>
  <c r="G92" i="7"/>
  <c r="E92" i="7"/>
  <c r="J91" i="7"/>
  <c r="I91" i="7"/>
  <c r="H91" i="7"/>
  <c r="G91" i="7"/>
  <c r="E91" i="7"/>
  <c r="J90" i="7"/>
  <c r="I90" i="7"/>
  <c r="H90" i="7"/>
  <c r="G90" i="7"/>
  <c r="E90" i="7"/>
  <c r="J89" i="7"/>
  <c r="I89" i="7"/>
  <c r="H89" i="7"/>
  <c r="G89" i="7"/>
  <c r="E89" i="7"/>
  <c r="J88" i="7"/>
  <c r="I88" i="7"/>
  <c r="H88" i="7"/>
  <c r="G88" i="7"/>
  <c r="E88" i="7"/>
  <c r="J87" i="7"/>
  <c r="I87" i="7"/>
  <c r="H87" i="7"/>
  <c r="G87" i="7"/>
  <c r="E87" i="7"/>
  <c r="M86" i="7"/>
  <c r="L86" i="7"/>
  <c r="K86" i="7"/>
  <c r="J85" i="7"/>
  <c r="I85" i="7"/>
  <c r="H85" i="7"/>
  <c r="G85" i="7"/>
  <c r="E85" i="7"/>
  <c r="J84" i="7"/>
  <c r="I84" i="7"/>
  <c r="H84" i="7"/>
  <c r="G84" i="7"/>
  <c r="E84" i="7"/>
  <c r="J83" i="7"/>
  <c r="I83" i="7"/>
  <c r="H83" i="7"/>
  <c r="G83" i="7"/>
  <c r="E83" i="7"/>
  <c r="J82" i="7"/>
  <c r="I82" i="7"/>
  <c r="H82" i="7"/>
  <c r="G82" i="7"/>
  <c r="E82" i="7"/>
  <c r="F81" i="7"/>
  <c r="J80" i="7"/>
  <c r="I80" i="7"/>
  <c r="H80" i="7"/>
  <c r="G80" i="7"/>
  <c r="E80" i="7"/>
  <c r="J79" i="7"/>
  <c r="I79" i="7"/>
  <c r="H79" i="7"/>
  <c r="G79" i="7"/>
  <c r="E79" i="7"/>
  <c r="J78" i="7"/>
  <c r="I78" i="7"/>
  <c r="H78" i="7"/>
  <c r="G78" i="7"/>
  <c r="E78" i="7"/>
  <c r="M77" i="7"/>
  <c r="L77" i="7"/>
  <c r="K77" i="7"/>
  <c r="M76" i="7"/>
  <c r="L76" i="7"/>
  <c r="K76" i="7"/>
  <c r="J76" i="7"/>
  <c r="I76" i="7"/>
  <c r="H76" i="7"/>
  <c r="G76" i="7"/>
  <c r="E76" i="7"/>
  <c r="M75" i="7"/>
  <c r="L75" i="7"/>
  <c r="K75" i="7"/>
  <c r="J75" i="7"/>
  <c r="I75" i="7"/>
  <c r="H75" i="7"/>
  <c r="G75" i="7"/>
  <c r="E75" i="7"/>
  <c r="M74" i="7"/>
  <c r="L74" i="7"/>
  <c r="K74" i="7"/>
  <c r="J74" i="7"/>
  <c r="I74" i="7"/>
  <c r="H74" i="7"/>
  <c r="G74" i="7"/>
  <c r="E74" i="7"/>
  <c r="M73" i="7"/>
  <c r="L73" i="7"/>
  <c r="K73" i="7"/>
  <c r="J73" i="7"/>
  <c r="I73" i="7"/>
  <c r="H73" i="7"/>
  <c r="G73" i="7"/>
  <c r="E73" i="7"/>
  <c r="M72" i="7"/>
  <c r="L72" i="7"/>
  <c r="K72" i="7"/>
  <c r="J72" i="7"/>
  <c r="I72" i="7"/>
  <c r="H72" i="7"/>
  <c r="G72" i="7"/>
  <c r="E72" i="7"/>
  <c r="M71" i="7"/>
  <c r="L71" i="7"/>
  <c r="K71" i="7"/>
  <c r="J71" i="7"/>
  <c r="I71" i="7"/>
  <c r="H71" i="7"/>
  <c r="G71" i="7"/>
  <c r="E71" i="7"/>
  <c r="M70" i="7"/>
  <c r="L70" i="7"/>
  <c r="K70" i="7"/>
  <c r="J70" i="7"/>
  <c r="I70" i="7"/>
  <c r="H70" i="7"/>
  <c r="G70" i="7"/>
  <c r="E70" i="7"/>
  <c r="M69" i="7"/>
  <c r="M68" i="7" s="1"/>
  <c r="L69" i="7"/>
  <c r="K69" i="7"/>
  <c r="J69" i="7"/>
  <c r="J68" i="7" s="1"/>
  <c r="I69" i="7"/>
  <c r="H69" i="7"/>
  <c r="G69" i="7"/>
  <c r="E69" i="7"/>
  <c r="L68" i="7"/>
  <c r="L66" i="7" s="1"/>
  <c r="K68" i="7"/>
  <c r="F67" i="7"/>
  <c r="J63" i="7"/>
  <c r="I63" i="7"/>
  <c r="H63" i="7"/>
  <c r="G63" i="7"/>
  <c r="E63" i="7"/>
  <c r="J62" i="7"/>
  <c r="I62" i="7"/>
  <c r="H62" i="7"/>
  <c r="G62" i="7"/>
  <c r="E62" i="7"/>
  <c r="F61" i="7"/>
  <c r="J60" i="7"/>
  <c r="I60" i="7"/>
  <c r="H60" i="7"/>
  <c r="G60" i="7"/>
  <c r="E60" i="7"/>
  <c r="J59" i="7"/>
  <c r="I59" i="7"/>
  <c r="H59" i="7"/>
  <c r="G59" i="7"/>
  <c r="E59" i="7"/>
  <c r="J58" i="7"/>
  <c r="I58" i="7"/>
  <c r="H58" i="7"/>
  <c r="G58" i="7"/>
  <c r="E58" i="7"/>
  <c r="J57" i="7"/>
  <c r="I57" i="7"/>
  <c r="H57" i="7"/>
  <c r="G57" i="7"/>
  <c r="E57" i="7"/>
  <c r="M56" i="7"/>
  <c r="L56" i="7"/>
  <c r="K56" i="7"/>
  <c r="J55" i="7"/>
  <c r="I55" i="7"/>
  <c r="H55" i="7"/>
  <c r="G55" i="7"/>
  <c r="E55" i="7"/>
  <c r="J54" i="7"/>
  <c r="I54" i="7"/>
  <c r="H54" i="7"/>
  <c r="G54" i="7"/>
  <c r="E54" i="7"/>
  <c r="J53" i="7"/>
  <c r="I53" i="7"/>
  <c r="H53" i="7"/>
  <c r="G53" i="7"/>
  <c r="E53" i="7"/>
  <c r="J52" i="7"/>
  <c r="I52" i="7"/>
  <c r="H52" i="7"/>
  <c r="G52" i="7"/>
  <c r="E52" i="7"/>
  <c r="J51" i="7"/>
  <c r="I51" i="7"/>
  <c r="H51" i="7"/>
  <c r="G51" i="7"/>
  <c r="E51" i="7"/>
  <c r="J50" i="7"/>
  <c r="I50" i="7"/>
  <c r="H50" i="7"/>
  <c r="G50" i="7"/>
  <c r="E50" i="7"/>
  <c r="J49" i="7"/>
  <c r="I49" i="7"/>
  <c r="H49" i="7"/>
  <c r="G49" i="7"/>
  <c r="E49" i="7"/>
  <c r="J48" i="7"/>
  <c r="I48" i="7"/>
  <c r="H48" i="7"/>
  <c r="G48" i="7"/>
  <c r="E48" i="7"/>
  <c r="J47" i="7"/>
  <c r="I47" i="7"/>
  <c r="H47" i="7"/>
  <c r="G47" i="7"/>
  <c r="E47" i="7"/>
  <c r="J46" i="7"/>
  <c r="I46" i="7"/>
  <c r="H46" i="7"/>
  <c r="G46" i="7"/>
  <c r="E46" i="7"/>
  <c r="J45" i="7"/>
  <c r="I45" i="7"/>
  <c r="H45" i="7"/>
  <c r="G45" i="7"/>
  <c r="E45" i="7"/>
  <c r="J44" i="7"/>
  <c r="I44" i="7"/>
  <c r="H44" i="7"/>
  <c r="G44" i="7"/>
  <c r="E44" i="7"/>
  <c r="J43" i="7"/>
  <c r="I43" i="7"/>
  <c r="H43" i="7"/>
  <c r="G43" i="7"/>
  <c r="E43" i="7"/>
  <c r="J42" i="7"/>
  <c r="I42" i="7"/>
  <c r="H42" i="7"/>
  <c r="G42" i="7"/>
  <c r="E42" i="7"/>
  <c r="J41" i="7"/>
  <c r="I41" i="7"/>
  <c r="H41" i="7"/>
  <c r="G41" i="7"/>
  <c r="E41" i="7"/>
  <c r="J40" i="7"/>
  <c r="I40" i="7"/>
  <c r="H40" i="7"/>
  <c r="G40" i="7"/>
  <c r="E40" i="7"/>
  <c r="M38" i="7"/>
  <c r="L38" i="7"/>
  <c r="K38" i="7"/>
  <c r="J37" i="7"/>
  <c r="I37" i="7"/>
  <c r="H37" i="7"/>
  <c r="G37" i="7"/>
  <c r="E37" i="7"/>
  <c r="J36" i="7"/>
  <c r="I36" i="7"/>
  <c r="H36" i="7"/>
  <c r="G36" i="7"/>
  <c r="E36" i="7"/>
  <c r="F35" i="7"/>
  <c r="F34" i="7"/>
  <c r="J33" i="7"/>
  <c r="I33" i="7"/>
  <c r="H33" i="7"/>
  <c r="G33" i="7"/>
  <c r="E33" i="7"/>
  <c r="J32" i="7"/>
  <c r="I32" i="7"/>
  <c r="H32" i="7"/>
  <c r="G32" i="7"/>
  <c r="E32" i="7"/>
  <c r="J31" i="7"/>
  <c r="I31" i="7"/>
  <c r="H31" i="7"/>
  <c r="G31" i="7"/>
  <c r="E31" i="7"/>
  <c r="J30" i="7"/>
  <c r="I30" i="7"/>
  <c r="H30" i="7"/>
  <c r="G30" i="7"/>
  <c r="E30" i="7"/>
  <c r="J29" i="7"/>
  <c r="I29" i="7"/>
  <c r="H29" i="7"/>
  <c r="G29" i="7"/>
  <c r="E29" i="7"/>
  <c r="J28" i="7"/>
  <c r="I28" i="7"/>
  <c r="H28" i="7"/>
  <c r="G28" i="7"/>
  <c r="E28" i="7"/>
  <c r="J27" i="7"/>
  <c r="I27" i="7"/>
  <c r="H27" i="7"/>
  <c r="G27" i="7"/>
  <c r="E27" i="7"/>
  <c r="J26" i="7"/>
  <c r="I26" i="7"/>
  <c r="H26" i="7"/>
  <c r="G26" i="7"/>
  <c r="E26" i="7"/>
  <c r="M25" i="7"/>
  <c r="M22" i="7" s="1"/>
  <c r="M64" i="7" s="1"/>
  <c r="L25" i="7"/>
  <c r="L22" i="7" s="1"/>
  <c r="L64" i="7" s="1"/>
  <c r="K25" i="7"/>
  <c r="K22" i="7" s="1"/>
  <c r="K64" i="7" s="1"/>
  <c r="F24" i="7"/>
  <c r="J23" i="7"/>
  <c r="I23" i="7"/>
  <c r="H23" i="7"/>
  <c r="G23" i="7"/>
  <c r="E23" i="7"/>
  <c r="F15" i="7"/>
  <c r="E15" i="7"/>
  <c r="F13" i="7"/>
  <c r="E13" i="7"/>
  <c r="B13" i="7"/>
  <c r="I11" i="7"/>
  <c r="H11" i="7"/>
  <c r="F11" i="7"/>
  <c r="B11" i="7"/>
  <c r="B8" i="7"/>
  <c r="J107" i="6"/>
  <c r="H107" i="6"/>
  <c r="G107" i="6"/>
  <c r="B107" i="6"/>
  <c r="J96" i="6"/>
  <c r="I96" i="6"/>
  <c r="H96" i="6"/>
  <c r="G96" i="6"/>
  <c r="E96" i="6"/>
  <c r="J95" i="6"/>
  <c r="I95" i="6"/>
  <c r="H95" i="6"/>
  <c r="G95" i="6"/>
  <c r="F95" i="6" s="1"/>
  <c r="E95" i="6"/>
  <c r="J94" i="6"/>
  <c r="I94" i="6"/>
  <c r="H94" i="6"/>
  <c r="G94" i="6"/>
  <c r="E94" i="6"/>
  <c r="J93" i="6"/>
  <c r="I93" i="6"/>
  <c r="H93" i="6"/>
  <c r="G93" i="6"/>
  <c r="E93" i="6"/>
  <c r="J92" i="6"/>
  <c r="I92" i="6"/>
  <c r="H92" i="6"/>
  <c r="G92" i="6"/>
  <c r="E92" i="6"/>
  <c r="J91" i="6"/>
  <c r="I91" i="6"/>
  <c r="H91" i="6"/>
  <c r="G91" i="6"/>
  <c r="E91" i="6"/>
  <c r="J90" i="6"/>
  <c r="I90" i="6"/>
  <c r="H90" i="6"/>
  <c r="G90" i="6"/>
  <c r="E90" i="6"/>
  <c r="J89" i="6"/>
  <c r="I89" i="6"/>
  <c r="H89" i="6"/>
  <c r="G89" i="6"/>
  <c r="E89" i="6"/>
  <c r="J88" i="6"/>
  <c r="I88" i="6"/>
  <c r="H88" i="6"/>
  <c r="G88" i="6"/>
  <c r="E88" i="6"/>
  <c r="J87" i="6"/>
  <c r="I87" i="6"/>
  <c r="H87" i="6"/>
  <c r="G87" i="6"/>
  <c r="F87" i="6" s="1"/>
  <c r="E87" i="6"/>
  <c r="M86" i="6"/>
  <c r="L86" i="6"/>
  <c r="K86" i="6"/>
  <c r="J85" i="6"/>
  <c r="I85" i="6"/>
  <c r="H85" i="6"/>
  <c r="G85" i="6"/>
  <c r="E85" i="6"/>
  <c r="J84" i="6"/>
  <c r="I84" i="6"/>
  <c r="H84" i="6"/>
  <c r="G84" i="6"/>
  <c r="E84" i="6"/>
  <c r="J83" i="6"/>
  <c r="I83" i="6"/>
  <c r="H83" i="6"/>
  <c r="G83" i="6"/>
  <c r="E83" i="6"/>
  <c r="J82" i="6"/>
  <c r="I82" i="6"/>
  <c r="H82" i="6"/>
  <c r="G82" i="6"/>
  <c r="E82" i="6"/>
  <c r="F81" i="6"/>
  <c r="J80" i="6"/>
  <c r="I80" i="6"/>
  <c r="H80" i="6"/>
  <c r="G80" i="6"/>
  <c r="E80" i="6"/>
  <c r="J79" i="6"/>
  <c r="I79" i="6"/>
  <c r="H79" i="6"/>
  <c r="G79" i="6"/>
  <c r="E79" i="6"/>
  <c r="J78" i="6"/>
  <c r="I78" i="6"/>
  <c r="H78" i="6"/>
  <c r="G78" i="6"/>
  <c r="E78" i="6"/>
  <c r="E77" i="6" s="1"/>
  <c r="M77" i="6"/>
  <c r="L77" i="6"/>
  <c r="K77" i="6"/>
  <c r="M76" i="6"/>
  <c r="L76" i="6"/>
  <c r="K76" i="6"/>
  <c r="J76" i="6"/>
  <c r="I76" i="6"/>
  <c r="H76" i="6"/>
  <c r="G76" i="6"/>
  <c r="E76" i="6"/>
  <c r="M75" i="6"/>
  <c r="L75" i="6"/>
  <c r="K75" i="6"/>
  <c r="J75" i="6"/>
  <c r="I75" i="6"/>
  <c r="H75" i="6"/>
  <c r="G75" i="6"/>
  <c r="E75" i="6"/>
  <c r="M74" i="6"/>
  <c r="L74" i="6"/>
  <c r="K74" i="6"/>
  <c r="J74" i="6"/>
  <c r="I74" i="6"/>
  <c r="H74" i="6"/>
  <c r="G74" i="6"/>
  <c r="E74" i="6"/>
  <c r="M73" i="6"/>
  <c r="L73" i="6"/>
  <c r="K73" i="6"/>
  <c r="J73" i="6"/>
  <c r="I73" i="6"/>
  <c r="H73" i="6"/>
  <c r="G73" i="6"/>
  <c r="E73" i="6"/>
  <c r="M72" i="6"/>
  <c r="L72" i="6"/>
  <c r="K72" i="6"/>
  <c r="J72" i="6"/>
  <c r="I72" i="6"/>
  <c r="H72" i="6"/>
  <c r="G72" i="6"/>
  <c r="E72" i="6"/>
  <c r="M71" i="6"/>
  <c r="L71" i="6"/>
  <c r="K71" i="6"/>
  <c r="J71" i="6"/>
  <c r="I71" i="6"/>
  <c r="H71" i="6"/>
  <c r="G71" i="6"/>
  <c r="E71" i="6"/>
  <c r="M70" i="6"/>
  <c r="L70" i="6"/>
  <c r="K70" i="6"/>
  <c r="J70" i="6"/>
  <c r="I70" i="6"/>
  <c r="H70" i="6"/>
  <c r="G70" i="6"/>
  <c r="E70" i="6"/>
  <c r="M69" i="6"/>
  <c r="M68" i="6" s="1"/>
  <c r="L69" i="6"/>
  <c r="L68" i="6" s="1"/>
  <c r="K69" i="6"/>
  <c r="J69" i="6"/>
  <c r="I69" i="6"/>
  <c r="H69" i="6"/>
  <c r="G69" i="6"/>
  <c r="E69" i="6"/>
  <c r="K68" i="6"/>
  <c r="K66" i="6" s="1"/>
  <c r="F67" i="6"/>
  <c r="J63" i="6"/>
  <c r="I63" i="6"/>
  <c r="H63" i="6"/>
  <c r="G63" i="6"/>
  <c r="E63" i="6"/>
  <c r="J62" i="6"/>
  <c r="I62" i="6"/>
  <c r="H62" i="6"/>
  <c r="G62" i="6"/>
  <c r="E62" i="6"/>
  <c r="F61" i="6"/>
  <c r="J60" i="6"/>
  <c r="I60" i="6"/>
  <c r="H60" i="6"/>
  <c r="G60" i="6"/>
  <c r="E60" i="6"/>
  <c r="J59" i="6"/>
  <c r="I59" i="6"/>
  <c r="H59" i="6"/>
  <c r="G59" i="6"/>
  <c r="E59" i="6"/>
  <c r="J58" i="6"/>
  <c r="I58" i="6"/>
  <c r="H58" i="6"/>
  <c r="G58" i="6"/>
  <c r="E58" i="6"/>
  <c r="J57" i="6"/>
  <c r="I57" i="6"/>
  <c r="H57" i="6"/>
  <c r="G57" i="6"/>
  <c r="E57" i="6"/>
  <c r="M56" i="6"/>
  <c r="L56" i="6"/>
  <c r="K56" i="6"/>
  <c r="J55" i="6"/>
  <c r="I55" i="6"/>
  <c r="H55" i="6"/>
  <c r="G55" i="6"/>
  <c r="E55" i="6"/>
  <c r="J54" i="6"/>
  <c r="I54" i="6"/>
  <c r="H54" i="6"/>
  <c r="G54" i="6"/>
  <c r="E54" i="6"/>
  <c r="J53" i="6"/>
  <c r="I53" i="6"/>
  <c r="H53" i="6"/>
  <c r="G53" i="6"/>
  <c r="E53" i="6"/>
  <c r="J52" i="6"/>
  <c r="I52" i="6"/>
  <c r="H52" i="6"/>
  <c r="G52" i="6"/>
  <c r="E52" i="6"/>
  <c r="J51" i="6"/>
  <c r="I51" i="6"/>
  <c r="H51" i="6"/>
  <c r="G51" i="6"/>
  <c r="E51" i="6"/>
  <c r="J50" i="6"/>
  <c r="I50" i="6"/>
  <c r="H50" i="6"/>
  <c r="G50" i="6"/>
  <c r="E50" i="6"/>
  <c r="J49" i="6"/>
  <c r="I49" i="6"/>
  <c r="H49" i="6"/>
  <c r="G49" i="6"/>
  <c r="E49" i="6"/>
  <c r="J48" i="6"/>
  <c r="I48" i="6"/>
  <c r="H48" i="6"/>
  <c r="G48" i="6"/>
  <c r="E48" i="6"/>
  <c r="J47" i="6"/>
  <c r="I47" i="6"/>
  <c r="H47" i="6"/>
  <c r="G47" i="6"/>
  <c r="E47" i="6"/>
  <c r="J46" i="6"/>
  <c r="I46" i="6"/>
  <c r="H46" i="6"/>
  <c r="G46" i="6"/>
  <c r="E46" i="6"/>
  <c r="J45" i="6"/>
  <c r="I45" i="6"/>
  <c r="H45" i="6"/>
  <c r="G45" i="6"/>
  <c r="E45" i="6"/>
  <c r="J44" i="6"/>
  <c r="I44" i="6"/>
  <c r="H44" i="6"/>
  <c r="G44" i="6"/>
  <c r="E44" i="6"/>
  <c r="J43" i="6"/>
  <c r="I43" i="6"/>
  <c r="H43" i="6"/>
  <c r="G43" i="6"/>
  <c r="E43" i="6"/>
  <c r="J42" i="6"/>
  <c r="I42" i="6"/>
  <c r="H42" i="6"/>
  <c r="G42" i="6"/>
  <c r="E42" i="6"/>
  <c r="J41" i="6"/>
  <c r="I41" i="6"/>
  <c r="H41" i="6"/>
  <c r="G41" i="6"/>
  <c r="E41" i="6"/>
  <c r="J40" i="6"/>
  <c r="I40" i="6"/>
  <c r="H40" i="6"/>
  <c r="G40" i="6"/>
  <c r="E40" i="6"/>
  <c r="M38" i="6"/>
  <c r="L38" i="6"/>
  <c r="K38" i="6"/>
  <c r="J37" i="6"/>
  <c r="I37" i="6"/>
  <c r="H37" i="6"/>
  <c r="G37" i="6"/>
  <c r="E37" i="6"/>
  <c r="J36" i="6"/>
  <c r="I36" i="6"/>
  <c r="H36" i="6"/>
  <c r="G36" i="6"/>
  <c r="E36" i="6"/>
  <c r="F35" i="6"/>
  <c r="F34" i="6"/>
  <c r="J33" i="6"/>
  <c r="I33" i="6"/>
  <c r="H33" i="6"/>
  <c r="G33" i="6"/>
  <c r="E33" i="6"/>
  <c r="J32" i="6"/>
  <c r="I32" i="6"/>
  <c r="H32" i="6"/>
  <c r="G32" i="6"/>
  <c r="E32" i="6"/>
  <c r="J31" i="6"/>
  <c r="I31" i="6"/>
  <c r="H31" i="6"/>
  <c r="G31" i="6"/>
  <c r="E31" i="6"/>
  <c r="J30" i="6"/>
  <c r="I30" i="6"/>
  <c r="H30" i="6"/>
  <c r="G30" i="6"/>
  <c r="E30" i="6"/>
  <c r="J29" i="6"/>
  <c r="I29" i="6"/>
  <c r="H29" i="6"/>
  <c r="G29" i="6"/>
  <c r="E29" i="6"/>
  <c r="J28" i="6"/>
  <c r="I28" i="6"/>
  <c r="H28" i="6"/>
  <c r="G28" i="6"/>
  <c r="E28" i="6"/>
  <c r="J27" i="6"/>
  <c r="I27" i="6"/>
  <c r="H27" i="6"/>
  <c r="G27" i="6"/>
  <c r="E27" i="6"/>
  <c r="J26" i="6"/>
  <c r="I26" i="6"/>
  <c r="H26" i="6"/>
  <c r="G26" i="6"/>
  <c r="E26" i="6"/>
  <c r="M25" i="6"/>
  <c r="M22" i="6" s="1"/>
  <c r="M64" i="6" s="1"/>
  <c r="L25" i="6"/>
  <c r="L22" i="6" s="1"/>
  <c r="L64" i="6" s="1"/>
  <c r="K25" i="6"/>
  <c r="F24" i="6"/>
  <c r="J23" i="6"/>
  <c r="I23" i="6"/>
  <c r="H23" i="6"/>
  <c r="G23" i="6"/>
  <c r="E23" i="6"/>
  <c r="K22" i="6"/>
  <c r="K64" i="6" s="1"/>
  <c r="F15" i="6"/>
  <c r="E15" i="6"/>
  <c r="F13" i="6"/>
  <c r="E13" i="6"/>
  <c r="B13" i="6"/>
  <c r="I11" i="6"/>
  <c r="H11" i="6"/>
  <c r="F11" i="6"/>
  <c r="B11" i="6"/>
  <c r="B8" i="6"/>
  <c r="J107" i="5"/>
  <c r="H107" i="5"/>
  <c r="G107" i="5"/>
  <c r="B107" i="5"/>
  <c r="J96" i="5"/>
  <c r="I96" i="5"/>
  <c r="H96" i="5"/>
  <c r="G96" i="5"/>
  <c r="E96" i="5"/>
  <c r="J95" i="5"/>
  <c r="I95" i="5"/>
  <c r="H95" i="5"/>
  <c r="G95" i="5"/>
  <c r="E95" i="5"/>
  <c r="J94" i="5"/>
  <c r="I94" i="5"/>
  <c r="H94" i="5"/>
  <c r="G94" i="5"/>
  <c r="E94" i="5"/>
  <c r="J93" i="5"/>
  <c r="I93" i="5"/>
  <c r="H93" i="5"/>
  <c r="G93" i="5"/>
  <c r="E93" i="5"/>
  <c r="J92" i="5"/>
  <c r="I92" i="5"/>
  <c r="H92" i="5"/>
  <c r="G92" i="5"/>
  <c r="E92" i="5"/>
  <c r="J91" i="5"/>
  <c r="I91" i="5"/>
  <c r="H91" i="5"/>
  <c r="G91" i="5"/>
  <c r="E91" i="5"/>
  <c r="J90" i="5"/>
  <c r="I90" i="5"/>
  <c r="H90" i="5"/>
  <c r="G90" i="5"/>
  <c r="E90" i="5"/>
  <c r="J89" i="5"/>
  <c r="I89" i="5"/>
  <c r="H89" i="5"/>
  <c r="G89" i="5"/>
  <c r="E89" i="5"/>
  <c r="J88" i="5"/>
  <c r="I88" i="5"/>
  <c r="I86" i="5" s="1"/>
  <c r="H88" i="5"/>
  <c r="H86" i="5" s="1"/>
  <c r="G88" i="5"/>
  <c r="E88" i="5"/>
  <c r="J87" i="5"/>
  <c r="I87" i="5"/>
  <c r="H87" i="5"/>
  <c r="G87" i="5"/>
  <c r="E87" i="5"/>
  <c r="M86" i="5"/>
  <c r="L86" i="5"/>
  <c r="K86" i="5"/>
  <c r="J85" i="5"/>
  <c r="I85" i="5"/>
  <c r="H85" i="5"/>
  <c r="G85" i="5"/>
  <c r="E85" i="5"/>
  <c r="J84" i="5"/>
  <c r="I84" i="5"/>
  <c r="H84" i="5"/>
  <c r="G84" i="5"/>
  <c r="E84" i="5"/>
  <c r="J83" i="5"/>
  <c r="I83" i="5"/>
  <c r="H83" i="5"/>
  <c r="G83" i="5"/>
  <c r="E83" i="5"/>
  <c r="J82" i="5"/>
  <c r="I82" i="5"/>
  <c r="H82" i="5"/>
  <c r="G82" i="5"/>
  <c r="E82" i="5"/>
  <c r="F81" i="5"/>
  <c r="J80" i="5"/>
  <c r="I80" i="5"/>
  <c r="H80" i="5"/>
  <c r="G80" i="5"/>
  <c r="E80" i="5"/>
  <c r="J79" i="5"/>
  <c r="I79" i="5"/>
  <c r="H79" i="5"/>
  <c r="G79" i="5"/>
  <c r="E79" i="5"/>
  <c r="J78" i="5"/>
  <c r="I78" i="5"/>
  <c r="H78" i="5"/>
  <c r="G78" i="5"/>
  <c r="E78" i="5"/>
  <c r="M77" i="5"/>
  <c r="L77" i="5"/>
  <c r="K77" i="5"/>
  <c r="M76" i="5"/>
  <c r="L76" i="5"/>
  <c r="K76" i="5"/>
  <c r="J76" i="5"/>
  <c r="I76" i="5"/>
  <c r="H76" i="5"/>
  <c r="G76" i="5"/>
  <c r="E76" i="5"/>
  <c r="M75" i="5"/>
  <c r="L75" i="5"/>
  <c r="K75" i="5"/>
  <c r="J75" i="5"/>
  <c r="I75" i="5"/>
  <c r="H75" i="5"/>
  <c r="G75" i="5"/>
  <c r="E75" i="5"/>
  <c r="M74" i="5"/>
  <c r="L74" i="5"/>
  <c r="K74" i="5"/>
  <c r="J74" i="5"/>
  <c r="I74" i="5"/>
  <c r="H74" i="5"/>
  <c r="G74" i="5"/>
  <c r="E74" i="5"/>
  <c r="M73" i="5"/>
  <c r="L73" i="5"/>
  <c r="K73" i="5"/>
  <c r="J73" i="5"/>
  <c r="I73" i="5"/>
  <c r="H73" i="5"/>
  <c r="G73" i="5"/>
  <c r="E73" i="5"/>
  <c r="M72" i="5"/>
  <c r="L72" i="5"/>
  <c r="K72" i="5"/>
  <c r="J72" i="5"/>
  <c r="I72" i="5"/>
  <c r="H72" i="5"/>
  <c r="G72" i="5"/>
  <c r="E72" i="5"/>
  <c r="M71" i="5"/>
  <c r="L71" i="5"/>
  <c r="K71" i="5"/>
  <c r="J71" i="5"/>
  <c r="I71" i="5"/>
  <c r="H71" i="5"/>
  <c r="G71" i="5"/>
  <c r="E71" i="5"/>
  <c r="M70" i="5"/>
  <c r="L70" i="5"/>
  <c r="K70" i="5"/>
  <c r="J70" i="5"/>
  <c r="I70" i="5"/>
  <c r="H70" i="5"/>
  <c r="G70" i="5"/>
  <c r="E70" i="5"/>
  <c r="M69" i="5"/>
  <c r="L69" i="5"/>
  <c r="L68" i="5" s="1"/>
  <c r="L66" i="5" s="1"/>
  <c r="K69" i="5"/>
  <c r="K68" i="5" s="1"/>
  <c r="J69" i="5"/>
  <c r="I69" i="5"/>
  <c r="H69" i="5"/>
  <c r="G69" i="5"/>
  <c r="E69" i="5"/>
  <c r="E68" i="5" s="1"/>
  <c r="M68" i="5"/>
  <c r="F67" i="5"/>
  <c r="J63" i="5"/>
  <c r="I63" i="5"/>
  <c r="H63" i="5"/>
  <c r="G63" i="5"/>
  <c r="E63" i="5"/>
  <c r="J62" i="5"/>
  <c r="I62" i="5"/>
  <c r="H62" i="5"/>
  <c r="G62" i="5"/>
  <c r="E62" i="5"/>
  <c r="F61" i="5"/>
  <c r="J60" i="5"/>
  <c r="I60" i="5"/>
  <c r="H60" i="5"/>
  <c r="G60" i="5"/>
  <c r="E60" i="5"/>
  <c r="J59" i="5"/>
  <c r="I59" i="5"/>
  <c r="H59" i="5"/>
  <c r="G59" i="5"/>
  <c r="E59" i="5"/>
  <c r="J58" i="5"/>
  <c r="I58" i="5"/>
  <c r="H58" i="5"/>
  <c r="G58" i="5"/>
  <c r="E58" i="5"/>
  <c r="J57" i="5"/>
  <c r="I57" i="5"/>
  <c r="H57" i="5"/>
  <c r="G57" i="5"/>
  <c r="E57" i="5"/>
  <c r="M56" i="5"/>
  <c r="L56" i="5"/>
  <c r="K56" i="5"/>
  <c r="J55" i="5"/>
  <c r="I55" i="5"/>
  <c r="H55" i="5"/>
  <c r="G55" i="5"/>
  <c r="E55" i="5"/>
  <c r="J54" i="5"/>
  <c r="I54" i="5"/>
  <c r="H54" i="5"/>
  <c r="G54" i="5"/>
  <c r="E54" i="5"/>
  <c r="J53" i="5"/>
  <c r="I53" i="5"/>
  <c r="H53" i="5"/>
  <c r="G53" i="5"/>
  <c r="E53" i="5"/>
  <c r="J52" i="5"/>
  <c r="I52" i="5"/>
  <c r="H52" i="5"/>
  <c r="G52" i="5"/>
  <c r="E52" i="5"/>
  <c r="J51" i="5"/>
  <c r="I51" i="5"/>
  <c r="H51" i="5"/>
  <c r="G51" i="5"/>
  <c r="E51" i="5"/>
  <c r="J50" i="5"/>
  <c r="I50" i="5"/>
  <c r="H50" i="5"/>
  <c r="G50" i="5"/>
  <c r="E50" i="5"/>
  <c r="J49" i="5"/>
  <c r="I49" i="5"/>
  <c r="H49" i="5"/>
  <c r="G49" i="5"/>
  <c r="E49" i="5"/>
  <c r="J48" i="5"/>
  <c r="I48" i="5"/>
  <c r="H48" i="5"/>
  <c r="G48" i="5"/>
  <c r="E48" i="5"/>
  <c r="J47" i="5"/>
  <c r="I47" i="5"/>
  <c r="H47" i="5"/>
  <c r="G47" i="5"/>
  <c r="E47" i="5"/>
  <c r="J46" i="5"/>
  <c r="I46" i="5"/>
  <c r="H46" i="5"/>
  <c r="G46" i="5"/>
  <c r="E46" i="5"/>
  <c r="J45" i="5"/>
  <c r="I45" i="5"/>
  <c r="H45" i="5"/>
  <c r="G45" i="5"/>
  <c r="E45" i="5"/>
  <c r="J44" i="5"/>
  <c r="I44" i="5"/>
  <c r="H44" i="5"/>
  <c r="G44" i="5"/>
  <c r="E44" i="5"/>
  <c r="J43" i="5"/>
  <c r="I43" i="5"/>
  <c r="H43" i="5"/>
  <c r="G43" i="5"/>
  <c r="E43" i="5"/>
  <c r="J42" i="5"/>
  <c r="I42" i="5"/>
  <c r="H42" i="5"/>
  <c r="G42" i="5"/>
  <c r="E42" i="5"/>
  <c r="J41" i="5"/>
  <c r="I41" i="5"/>
  <c r="H41" i="5"/>
  <c r="G41" i="5"/>
  <c r="E41" i="5"/>
  <c r="J40" i="5"/>
  <c r="I40" i="5"/>
  <c r="H40" i="5"/>
  <c r="G40" i="5"/>
  <c r="E40" i="5"/>
  <c r="M38" i="5"/>
  <c r="L38" i="5"/>
  <c r="K38" i="5"/>
  <c r="J37" i="5"/>
  <c r="I37" i="5"/>
  <c r="H37" i="5"/>
  <c r="G37" i="5"/>
  <c r="E37" i="5"/>
  <c r="J36" i="5"/>
  <c r="I36" i="5"/>
  <c r="H36" i="5"/>
  <c r="G36" i="5"/>
  <c r="E36" i="5"/>
  <c r="F35" i="5"/>
  <c r="F34" i="5"/>
  <c r="J33" i="5"/>
  <c r="I33" i="5"/>
  <c r="H33" i="5"/>
  <c r="G33" i="5"/>
  <c r="E33" i="5"/>
  <c r="J32" i="5"/>
  <c r="I32" i="5"/>
  <c r="H32" i="5"/>
  <c r="G32" i="5"/>
  <c r="E32" i="5"/>
  <c r="J31" i="5"/>
  <c r="I31" i="5"/>
  <c r="H31" i="5"/>
  <c r="G31" i="5"/>
  <c r="E31" i="5"/>
  <c r="J30" i="5"/>
  <c r="I30" i="5"/>
  <c r="H30" i="5"/>
  <c r="G30" i="5"/>
  <c r="E30" i="5"/>
  <c r="J29" i="5"/>
  <c r="I29" i="5"/>
  <c r="H29" i="5"/>
  <c r="G29" i="5"/>
  <c r="E29" i="5"/>
  <c r="J28" i="5"/>
  <c r="I28" i="5"/>
  <c r="H28" i="5"/>
  <c r="G28" i="5"/>
  <c r="E28" i="5"/>
  <c r="J27" i="5"/>
  <c r="I27" i="5"/>
  <c r="H27" i="5"/>
  <c r="G27" i="5"/>
  <c r="E27" i="5"/>
  <c r="J26" i="5"/>
  <c r="I26" i="5"/>
  <c r="H26" i="5"/>
  <c r="G26" i="5"/>
  <c r="E26" i="5"/>
  <c r="M25" i="5"/>
  <c r="L25" i="5"/>
  <c r="L22" i="5" s="1"/>
  <c r="L64" i="5" s="1"/>
  <c r="K25" i="5"/>
  <c r="K22" i="5" s="1"/>
  <c r="K64" i="5" s="1"/>
  <c r="F24" i="5"/>
  <c r="J23" i="5"/>
  <c r="I23" i="5"/>
  <c r="H23" i="5"/>
  <c r="G23" i="5"/>
  <c r="E23" i="5"/>
  <c r="M22" i="5"/>
  <c r="M64" i="5" s="1"/>
  <c r="F15" i="5"/>
  <c r="E15" i="5"/>
  <c r="F13" i="5"/>
  <c r="E13" i="5"/>
  <c r="B13" i="5"/>
  <c r="I11" i="5"/>
  <c r="H11" i="5"/>
  <c r="F11" i="5"/>
  <c r="B11" i="5"/>
  <c r="B8" i="5"/>
  <c r="J107" i="4"/>
  <c r="H107" i="4"/>
  <c r="G107" i="4"/>
  <c r="B107" i="4"/>
  <c r="J96" i="4"/>
  <c r="I96" i="4"/>
  <c r="H96" i="4"/>
  <c r="G96" i="4"/>
  <c r="E96" i="4"/>
  <c r="J95" i="4"/>
  <c r="I95" i="4"/>
  <c r="H95" i="4"/>
  <c r="G95" i="4"/>
  <c r="E95" i="4"/>
  <c r="J94" i="4"/>
  <c r="I94" i="4"/>
  <c r="H94" i="4"/>
  <c r="G94" i="4"/>
  <c r="E94" i="4"/>
  <c r="J93" i="4"/>
  <c r="I93" i="4"/>
  <c r="H93" i="4"/>
  <c r="G93" i="4"/>
  <c r="E93" i="4"/>
  <c r="J92" i="4"/>
  <c r="I92" i="4"/>
  <c r="H92" i="4"/>
  <c r="G92" i="4"/>
  <c r="E92" i="4"/>
  <c r="J91" i="4"/>
  <c r="I91" i="4"/>
  <c r="H91" i="4"/>
  <c r="G91" i="4"/>
  <c r="E91" i="4"/>
  <c r="J90" i="4"/>
  <c r="I90" i="4"/>
  <c r="H90" i="4"/>
  <c r="G90" i="4"/>
  <c r="E90" i="4"/>
  <c r="J89" i="4"/>
  <c r="I89" i="4"/>
  <c r="H89" i="4"/>
  <c r="G89" i="4"/>
  <c r="E89" i="4"/>
  <c r="J88" i="4"/>
  <c r="I88" i="4"/>
  <c r="H88" i="4"/>
  <c r="G88" i="4"/>
  <c r="E88" i="4"/>
  <c r="J87" i="4"/>
  <c r="I87" i="4"/>
  <c r="H87" i="4"/>
  <c r="G87" i="4"/>
  <c r="E87" i="4"/>
  <c r="M86" i="4"/>
  <c r="L86" i="4"/>
  <c r="K86" i="4"/>
  <c r="J85" i="4"/>
  <c r="I85" i="4"/>
  <c r="H85" i="4"/>
  <c r="G85" i="4"/>
  <c r="E85" i="4"/>
  <c r="J84" i="4"/>
  <c r="I84" i="4"/>
  <c r="H84" i="4"/>
  <c r="G84" i="4"/>
  <c r="E84" i="4"/>
  <c r="J83" i="4"/>
  <c r="I83" i="4"/>
  <c r="H83" i="4"/>
  <c r="G83" i="4"/>
  <c r="E83" i="4"/>
  <c r="J82" i="4"/>
  <c r="I82" i="4"/>
  <c r="H82" i="4"/>
  <c r="G82" i="4"/>
  <c r="E82" i="4"/>
  <c r="F81" i="4"/>
  <c r="J80" i="4"/>
  <c r="I80" i="4"/>
  <c r="H80" i="4"/>
  <c r="G80" i="4"/>
  <c r="E80" i="4"/>
  <c r="J79" i="4"/>
  <c r="I79" i="4"/>
  <c r="H79" i="4"/>
  <c r="G79" i="4"/>
  <c r="E79" i="4"/>
  <c r="J78" i="4"/>
  <c r="I78" i="4"/>
  <c r="H78" i="4"/>
  <c r="G78" i="4"/>
  <c r="E78" i="4"/>
  <c r="M77" i="4"/>
  <c r="L77" i="4"/>
  <c r="K77" i="4"/>
  <c r="M76" i="4"/>
  <c r="L76" i="4"/>
  <c r="K76" i="4"/>
  <c r="J76" i="4"/>
  <c r="I76" i="4"/>
  <c r="H76" i="4"/>
  <c r="G76" i="4"/>
  <c r="E76" i="4"/>
  <c r="M75" i="4"/>
  <c r="L75" i="4"/>
  <c r="K75" i="4"/>
  <c r="J75" i="4"/>
  <c r="I75" i="4"/>
  <c r="H75" i="4"/>
  <c r="G75" i="4"/>
  <c r="E75" i="4"/>
  <c r="M74" i="4"/>
  <c r="L74" i="4"/>
  <c r="K74" i="4"/>
  <c r="J74" i="4"/>
  <c r="I74" i="4"/>
  <c r="H74" i="4"/>
  <c r="G74" i="4"/>
  <c r="E74" i="4"/>
  <c r="M73" i="4"/>
  <c r="L73" i="4"/>
  <c r="K73" i="4"/>
  <c r="J73" i="4"/>
  <c r="I73" i="4"/>
  <c r="H73" i="4"/>
  <c r="G73" i="4"/>
  <c r="E73" i="4"/>
  <c r="M72" i="4"/>
  <c r="L72" i="4"/>
  <c r="K72" i="4"/>
  <c r="J72" i="4"/>
  <c r="I72" i="4"/>
  <c r="H72" i="4"/>
  <c r="G72" i="4"/>
  <c r="E72" i="4"/>
  <c r="M71" i="4"/>
  <c r="L71" i="4"/>
  <c r="K71" i="4"/>
  <c r="J71" i="4"/>
  <c r="I71" i="4"/>
  <c r="H71" i="4"/>
  <c r="G71" i="4"/>
  <c r="E71" i="4"/>
  <c r="M70" i="4"/>
  <c r="L70" i="4"/>
  <c r="K70" i="4"/>
  <c r="J70" i="4"/>
  <c r="I70" i="4"/>
  <c r="H70" i="4"/>
  <c r="G70" i="4"/>
  <c r="E70" i="4"/>
  <c r="M69" i="4"/>
  <c r="L69" i="4"/>
  <c r="L68" i="4" s="1"/>
  <c r="K69" i="4"/>
  <c r="J69" i="4"/>
  <c r="J68" i="4" s="1"/>
  <c r="I69" i="4"/>
  <c r="I68" i="4" s="1"/>
  <c r="H69" i="4"/>
  <c r="G69" i="4"/>
  <c r="E69" i="4"/>
  <c r="M68" i="4"/>
  <c r="K68" i="4"/>
  <c r="K66" i="4" s="1"/>
  <c r="F67" i="4"/>
  <c r="J63" i="4"/>
  <c r="I63" i="4"/>
  <c r="H63" i="4"/>
  <c r="G63" i="4"/>
  <c r="E63" i="4"/>
  <c r="J62" i="4"/>
  <c r="I62" i="4"/>
  <c r="H62" i="4"/>
  <c r="G62" i="4"/>
  <c r="E62" i="4"/>
  <c r="F61" i="4"/>
  <c r="J60" i="4"/>
  <c r="I60" i="4"/>
  <c r="H60" i="4"/>
  <c r="G60" i="4"/>
  <c r="E60" i="4"/>
  <c r="J59" i="4"/>
  <c r="I59" i="4"/>
  <c r="H59" i="4"/>
  <c r="G59" i="4"/>
  <c r="E59" i="4"/>
  <c r="J58" i="4"/>
  <c r="I58" i="4"/>
  <c r="H58" i="4"/>
  <c r="G58" i="4"/>
  <c r="E58" i="4"/>
  <c r="J57" i="4"/>
  <c r="J56" i="4" s="1"/>
  <c r="I57" i="4"/>
  <c r="H57" i="4"/>
  <c r="G57" i="4"/>
  <c r="E57" i="4"/>
  <c r="M56" i="4"/>
  <c r="L56" i="4"/>
  <c r="K56" i="4"/>
  <c r="J55" i="4"/>
  <c r="I55" i="4"/>
  <c r="H55" i="4"/>
  <c r="G55" i="4"/>
  <c r="E55" i="4"/>
  <c r="J54" i="4"/>
  <c r="I54" i="4"/>
  <c r="H54" i="4"/>
  <c r="G54" i="4"/>
  <c r="E54" i="4"/>
  <c r="J53" i="4"/>
  <c r="I53" i="4"/>
  <c r="H53" i="4"/>
  <c r="G53" i="4"/>
  <c r="E53" i="4"/>
  <c r="J52" i="4"/>
  <c r="I52" i="4"/>
  <c r="H52" i="4"/>
  <c r="G52" i="4"/>
  <c r="E52" i="4"/>
  <c r="J51" i="4"/>
  <c r="I51" i="4"/>
  <c r="H51" i="4"/>
  <c r="G51" i="4"/>
  <c r="E51" i="4"/>
  <c r="J50" i="4"/>
  <c r="I50" i="4"/>
  <c r="H50" i="4"/>
  <c r="G50" i="4"/>
  <c r="E50" i="4"/>
  <c r="J49" i="4"/>
  <c r="I49" i="4"/>
  <c r="H49" i="4"/>
  <c r="G49" i="4"/>
  <c r="E49" i="4"/>
  <c r="J48" i="4"/>
  <c r="I48" i="4"/>
  <c r="H48" i="4"/>
  <c r="G48" i="4"/>
  <c r="E48" i="4"/>
  <c r="J47" i="4"/>
  <c r="I47" i="4"/>
  <c r="H47" i="4"/>
  <c r="G47" i="4"/>
  <c r="E47" i="4"/>
  <c r="J46" i="4"/>
  <c r="I46" i="4"/>
  <c r="H46" i="4"/>
  <c r="G46" i="4"/>
  <c r="E46" i="4"/>
  <c r="J45" i="4"/>
  <c r="I45" i="4"/>
  <c r="H45" i="4"/>
  <c r="G45" i="4"/>
  <c r="E45" i="4"/>
  <c r="J44" i="4"/>
  <c r="I44" i="4"/>
  <c r="H44" i="4"/>
  <c r="G44" i="4"/>
  <c r="E44" i="4"/>
  <c r="J43" i="4"/>
  <c r="I43" i="4"/>
  <c r="H43" i="4"/>
  <c r="G43" i="4"/>
  <c r="E43" i="4"/>
  <c r="J42" i="4"/>
  <c r="I42" i="4"/>
  <c r="H42" i="4"/>
  <c r="G42" i="4"/>
  <c r="E42" i="4"/>
  <c r="J41" i="4"/>
  <c r="I41" i="4"/>
  <c r="H41" i="4"/>
  <c r="G41" i="4"/>
  <c r="E41" i="4"/>
  <c r="J40" i="4"/>
  <c r="I40" i="4"/>
  <c r="H40" i="4"/>
  <c r="G40" i="4"/>
  <c r="E40" i="4"/>
  <c r="M38" i="4"/>
  <c r="L38" i="4"/>
  <c r="K38" i="4"/>
  <c r="J37" i="4"/>
  <c r="I37" i="4"/>
  <c r="H37" i="4"/>
  <c r="G37" i="4"/>
  <c r="E37" i="4"/>
  <c r="J36" i="4"/>
  <c r="I36" i="4"/>
  <c r="H36" i="4"/>
  <c r="G36" i="4"/>
  <c r="E36" i="4"/>
  <c r="F35" i="4"/>
  <c r="F34" i="4"/>
  <c r="J33" i="4"/>
  <c r="I33" i="4"/>
  <c r="H33" i="4"/>
  <c r="G33" i="4"/>
  <c r="E33" i="4"/>
  <c r="J32" i="4"/>
  <c r="I32" i="4"/>
  <c r="H32" i="4"/>
  <c r="G32" i="4"/>
  <c r="E32" i="4"/>
  <c r="J31" i="4"/>
  <c r="I31" i="4"/>
  <c r="H31" i="4"/>
  <c r="G31" i="4"/>
  <c r="E31" i="4"/>
  <c r="J30" i="4"/>
  <c r="I30" i="4"/>
  <c r="H30" i="4"/>
  <c r="G30" i="4"/>
  <c r="E30" i="4"/>
  <c r="J29" i="4"/>
  <c r="I29" i="4"/>
  <c r="H29" i="4"/>
  <c r="G29" i="4"/>
  <c r="E29" i="4"/>
  <c r="J28" i="4"/>
  <c r="I28" i="4"/>
  <c r="H28" i="4"/>
  <c r="G28" i="4"/>
  <c r="E28" i="4"/>
  <c r="J27" i="4"/>
  <c r="I27" i="4"/>
  <c r="H27" i="4"/>
  <c r="G27" i="4"/>
  <c r="E27" i="4"/>
  <c r="J26" i="4"/>
  <c r="I26" i="4"/>
  <c r="H26" i="4"/>
  <c r="G26" i="4"/>
  <c r="E26" i="4"/>
  <c r="M25" i="4"/>
  <c r="M22" i="4" s="1"/>
  <c r="M64" i="4" s="1"/>
  <c r="L25" i="4"/>
  <c r="L22" i="4" s="1"/>
  <c r="L64" i="4" s="1"/>
  <c r="K25" i="4"/>
  <c r="K22" i="4" s="1"/>
  <c r="K64" i="4" s="1"/>
  <c r="F24" i="4"/>
  <c r="J23" i="4"/>
  <c r="I23" i="4"/>
  <c r="H23" i="4"/>
  <c r="G23" i="4"/>
  <c r="E23" i="4"/>
  <c r="F15" i="4"/>
  <c r="E15" i="4"/>
  <c r="F13" i="4"/>
  <c r="E13" i="4"/>
  <c r="B13" i="4"/>
  <c r="I11" i="4"/>
  <c r="H11" i="4"/>
  <c r="F11" i="4"/>
  <c r="B11" i="4"/>
  <c r="B8" i="4"/>
  <c r="J107" i="3"/>
  <c r="H107" i="3"/>
  <c r="G107" i="3"/>
  <c r="B107" i="3"/>
  <c r="J96" i="3"/>
  <c r="I96" i="3"/>
  <c r="H96" i="3"/>
  <c r="G96" i="3"/>
  <c r="E96" i="3"/>
  <c r="J95" i="3"/>
  <c r="I95" i="3"/>
  <c r="H95" i="3"/>
  <c r="G95" i="3"/>
  <c r="E95" i="3"/>
  <c r="J94" i="3"/>
  <c r="I94" i="3"/>
  <c r="H94" i="3"/>
  <c r="G94" i="3"/>
  <c r="E94" i="3"/>
  <c r="J93" i="3"/>
  <c r="I93" i="3"/>
  <c r="H93" i="3"/>
  <c r="G93" i="3"/>
  <c r="E93" i="3"/>
  <c r="J92" i="3"/>
  <c r="I92" i="3"/>
  <c r="H92" i="3"/>
  <c r="G92" i="3"/>
  <c r="E92" i="3"/>
  <c r="J91" i="3"/>
  <c r="I91" i="3"/>
  <c r="H91" i="3"/>
  <c r="G91" i="3"/>
  <c r="E91" i="3"/>
  <c r="J90" i="3"/>
  <c r="I90" i="3"/>
  <c r="H90" i="3"/>
  <c r="G90" i="3"/>
  <c r="E90" i="3"/>
  <c r="J89" i="3"/>
  <c r="I89" i="3"/>
  <c r="H89" i="3"/>
  <c r="G89" i="3"/>
  <c r="E89" i="3"/>
  <c r="J88" i="3"/>
  <c r="I88" i="3"/>
  <c r="H88" i="3"/>
  <c r="G88" i="3"/>
  <c r="E88" i="3"/>
  <c r="J87" i="3"/>
  <c r="I87" i="3"/>
  <c r="H87" i="3"/>
  <c r="G87" i="3"/>
  <c r="E87" i="3"/>
  <c r="M86" i="3"/>
  <c r="L86" i="3"/>
  <c r="K86" i="3"/>
  <c r="J85" i="3"/>
  <c r="I85" i="3"/>
  <c r="H85" i="3"/>
  <c r="G85" i="3"/>
  <c r="E85" i="3"/>
  <c r="J84" i="3"/>
  <c r="I84" i="3"/>
  <c r="H84" i="3"/>
  <c r="G84" i="3"/>
  <c r="E84" i="3"/>
  <c r="J83" i="3"/>
  <c r="I83" i="3"/>
  <c r="H83" i="3"/>
  <c r="G83" i="3"/>
  <c r="E83" i="3"/>
  <c r="J82" i="3"/>
  <c r="I82" i="3"/>
  <c r="H82" i="3"/>
  <c r="G82" i="3"/>
  <c r="E82" i="3"/>
  <c r="F81" i="3"/>
  <c r="J80" i="3"/>
  <c r="I80" i="3"/>
  <c r="H80" i="3"/>
  <c r="G80" i="3"/>
  <c r="E80" i="3"/>
  <c r="J79" i="3"/>
  <c r="I79" i="3"/>
  <c r="H79" i="3"/>
  <c r="G79" i="3"/>
  <c r="E79" i="3"/>
  <c r="J78" i="3"/>
  <c r="I78" i="3"/>
  <c r="H78" i="3"/>
  <c r="G78" i="3"/>
  <c r="E78" i="3"/>
  <c r="M77" i="3"/>
  <c r="L77" i="3"/>
  <c r="K77" i="3"/>
  <c r="M76" i="3"/>
  <c r="L76" i="3"/>
  <c r="K76" i="3"/>
  <c r="J76" i="3"/>
  <c r="I76" i="3"/>
  <c r="H76" i="3"/>
  <c r="G76" i="3"/>
  <c r="E76" i="3"/>
  <c r="M75" i="3"/>
  <c r="L75" i="3"/>
  <c r="K75" i="3"/>
  <c r="J75" i="3"/>
  <c r="I75" i="3"/>
  <c r="H75" i="3"/>
  <c r="G75" i="3"/>
  <c r="E75" i="3"/>
  <c r="M74" i="3"/>
  <c r="L74" i="3"/>
  <c r="K74" i="3"/>
  <c r="J74" i="3"/>
  <c r="I74" i="3"/>
  <c r="H74" i="3"/>
  <c r="G74" i="3"/>
  <c r="E74" i="3"/>
  <c r="M73" i="3"/>
  <c r="L73" i="3"/>
  <c r="K73" i="3"/>
  <c r="J73" i="3"/>
  <c r="I73" i="3"/>
  <c r="H73" i="3"/>
  <c r="G73" i="3"/>
  <c r="E73" i="3"/>
  <c r="M72" i="3"/>
  <c r="L72" i="3"/>
  <c r="K72" i="3"/>
  <c r="J72" i="3"/>
  <c r="I72" i="3"/>
  <c r="H72" i="3"/>
  <c r="G72" i="3"/>
  <c r="E72" i="3"/>
  <c r="M71" i="3"/>
  <c r="L71" i="3"/>
  <c r="K71" i="3"/>
  <c r="J71" i="3"/>
  <c r="I71" i="3"/>
  <c r="H71" i="3"/>
  <c r="G71" i="3"/>
  <c r="E71" i="3"/>
  <c r="M70" i="3"/>
  <c r="L70" i="3"/>
  <c r="K70" i="3"/>
  <c r="J70" i="3"/>
  <c r="I70" i="3"/>
  <c r="H70" i="3"/>
  <c r="G70" i="3"/>
  <c r="E70" i="3"/>
  <c r="M69" i="3"/>
  <c r="M68" i="3" s="1"/>
  <c r="L69" i="3"/>
  <c r="K69" i="3"/>
  <c r="J69" i="3"/>
  <c r="J68" i="3" s="1"/>
  <c r="I69" i="3"/>
  <c r="I68" i="3" s="1"/>
  <c r="H69" i="3"/>
  <c r="G69" i="3"/>
  <c r="E69" i="3"/>
  <c r="L68" i="3"/>
  <c r="K68" i="3"/>
  <c r="F67" i="3"/>
  <c r="J63" i="3"/>
  <c r="I63" i="3"/>
  <c r="H63" i="3"/>
  <c r="G63" i="3"/>
  <c r="E63" i="3"/>
  <c r="J62" i="3"/>
  <c r="I62" i="3"/>
  <c r="H62" i="3"/>
  <c r="G62" i="3"/>
  <c r="E62" i="3"/>
  <c r="F61" i="3"/>
  <c r="J60" i="3"/>
  <c r="I60" i="3"/>
  <c r="H60" i="3"/>
  <c r="G60" i="3"/>
  <c r="E60" i="3"/>
  <c r="J59" i="3"/>
  <c r="I59" i="3"/>
  <c r="H59" i="3"/>
  <c r="G59" i="3"/>
  <c r="E59" i="3"/>
  <c r="J58" i="3"/>
  <c r="I58" i="3"/>
  <c r="H58" i="3"/>
  <c r="G58" i="3"/>
  <c r="E58" i="3"/>
  <c r="J57" i="3"/>
  <c r="I57" i="3"/>
  <c r="I56" i="3" s="1"/>
  <c r="H57" i="3"/>
  <c r="G57" i="3"/>
  <c r="E57" i="3"/>
  <c r="M56" i="3"/>
  <c r="L56" i="3"/>
  <c r="K56" i="3"/>
  <c r="J55" i="3"/>
  <c r="I55" i="3"/>
  <c r="H55" i="3"/>
  <c r="G55" i="3"/>
  <c r="E55" i="3"/>
  <c r="J54" i="3"/>
  <c r="I54" i="3"/>
  <c r="H54" i="3"/>
  <c r="G54" i="3"/>
  <c r="E54" i="3"/>
  <c r="J53" i="3"/>
  <c r="I53" i="3"/>
  <c r="H53" i="3"/>
  <c r="G53" i="3"/>
  <c r="E53" i="3"/>
  <c r="J52" i="3"/>
  <c r="I52" i="3"/>
  <c r="H52" i="3"/>
  <c r="G52" i="3"/>
  <c r="E52" i="3"/>
  <c r="J51" i="3"/>
  <c r="I51" i="3"/>
  <c r="H51" i="3"/>
  <c r="G51" i="3"/>
  <c r="E51" i="3"/>
  <c r="J50" i="3"/>
  <c r="I50" i="3"/>
  <c r="H50" i="3"/>
  <c r="G50" i="3"/>
  <c r="E50" i="3"/>
  <c r="J49" i="3"/>
  <c r="I49" i="3"/>
  <c r="H49" i="3"/>
  <c r="G49" i="3"/>
  <c r="E49" i="3"/>
  <c r="J48" i="3"/>
  <c r="I48" i="3"/>
  <c r="H48" i="3"/>
  <c r="G48" i="3"/>
  <c r="E48" i="3"/>
  <c r="J47" i="3"/>
  <c r="I47" i="3"/>
  <c r="H47" i="3"/>
  <c r="G47" i="3"/>
  <c r="E47" i="3"/>
  <c r="J46" i="3"/>
  <c r="I46" i="3"/>
  <c r="H46" i="3"/>
  <c r="G46" i="3"/>
  <c r="E46" i="3"/>
  <c r="J45" i="3"/>
  <c r="I45" i="3"/>
  <c r="H45" i="3"/>
  <c r="G45" i="3"/>
  <c r="E45" i="3"/>
  <c r="J44" i="3"/>
  <c r="I44" i="3"/>
  <c r="H44" i="3"/>
  <c r="G44" i="3"/>
  <c r="E44" i="3"/>
  <c r="J43" i="3"/>
  <c r="I43" i="3"/>
  <c r="H43" i="3"/>
  <c r="G43" i="3"/>
  <c r="E43" i="3"/>
  <c r="J42" i="3"/>
  <c r="I42" i="3"/>
  <c r="H42" i="3"/>
  <c r="G42" i="3"/>
  <c r="E42" i="3"/>
  <c r="J41" i="3"/>
  <c r="I41" i="3"/>
  <c r="H41" i="3"/>
  <c r="G41" i="3"/>
  <c r="E41" i="3"/>
  <c r="J40" i="3"/>
  <c r="I40" i="3"/>
  <c r="H40" i="3"/>
  <c r="G40" i="3"/>
  <c r="E40" i="3"/>
  <c r="M38" i="3"/>
  <c r="L38" i="3"/>
  <c r="K38" i="3"/>
  <c r="J37" i="3"/>
  <c r="I37" i="3"/>
  <c r="H37" i="3"/>
  <c r="G37" i="3"/>
  <c r="E37" i="3"/>
  <c r="J36" i="3"/>
  <c r="I36" i="3"/>
  <c r="H36" i="3"/>
  <c r="G36" i="3"/>
  <c r="E36" i="3"/>
  <c r="F35" i="3"/>
  <c r="F34" i="3"/>
  <c r="J33" i="3"/>
  <c r="I33" i="3"/>
  <c r="H33" i="3"/>
  <c r="G33" i="3"/>
  <c r="E33" i="3"/>
  <c r="J32" i="3"/>
  <c r="I32" i="3"/>
  <c r="H32" i="3"/>
  <c r="G32" i="3"/>
  <c r="E32" i="3"/>
  <c r="J31" i="3"/>
  <c r="I31" i="3"/>
  <c r="H31" i="3"/>
  <c r="G31" i="3"/>
  <c r="E31" i="3"/>
  <c r="J30" i="3"/>
  <c r="I30" i="3"/>
  <c r="H30" i="3"/>
  <c r="G30" i="3"/>
  <c r="E30" i="3"/>
  <c r="J29" i="3"/>
  <c r="I29" i="3"/>
  <c r="H29" i="3"/>
  <c r="G29" i="3"/>
  <c r="E29" i="3"/>
  <c r="J28" i="3"/>
  <c r="I28" i="3"/>
  <c r="H28" i="3"/>
  <c r="G28" i="3"/>
  <c r="E28" i="3"/>
  <c r="J27" i="3"/>
  <c r="I27" i="3"/>
  <c r="H27" i="3"/>
  <c r="G27" i="3"/>
  <c r="E27" i="3"/>
  <c r="J26" i="3"/>
  <c r="I26" i="3"/>
  <c r="H26" i="3"/>
  <c r="G26" i="3"/>
  <c r="E26" i="3"/>
  <c r="M25" i="3"/>
  <c r="M22" i="3" s="1"/>
  <c r="M64" i="3" s="1"/>
  <c r="L25" i="3"/>
  <c r="L22" i="3" s="1"/>
  <c r="L64" i="3" s="1"/>
  <c r="K25" i="3"/>
  <c r="K22" i="3" s="1"/>
  <c r="K64" i="3" s="1"/>
  <c r="F24" i="3"/>
  <c r="J23" i="3"/>
  <c r="I23" i="3"/>
  <c r="H23" i="3"/>
  <c r="G23" i="3"/>
  <c r="E23" i="3"/>
  <c r="F15" i="3"/>
  <c r="E15" i="3"/>
  <c r="F13" i="3"/>
  <c r="E13" i="3"/>
  <c r="B13" i="3"/>
  <c r="I11" i="3"/>
  <c r="H11" i="3"/>
  <c r="F11" i="3"/>
  <c r="B11" i="3"/>
  <c r="B8" i="3"/>
  <c r="J107" i="2"/>
  <c r="H107" i="2"/>
  <c r="G107" i="2"/>
  <c r="B107" i="2"/>
  <c r="J96" i="2"/>
  <c r="I96" i="2"/>
  <c r="H96" i="2"/>
  <c r="G96" i="2"/>
  <c r="E96" i="2"/>
  <c r="J95" i="2"/>
  <c r="I95" i="2"/>
  <c r="H95" i="2"/>
  <c r="G95" i="2"/>
  <c r="E95" i="2"/>
  <c r="J94" i="2"/>
  <c r="I94" i="2"/>
  <c r="H94" i="2"/>
  <c r="G94" i="2"/>
  <c r="E94" i="2"/>
  <c r="J93" i="2"/>
  <c r="I93" i="2"/>
  <c r="H93" i="2"/>
  <c r="G93" i="2"/>
  <c r="E93" i="2"/>
  <c r="J92" i="2"/>
  <c r="I92" i="2"/>
  <c r="H92" i="2"/>
  <c r="G92" i="2"/>
  <c r="E92" i="2"/>
  <c r="J91" i="2"/>
  <c r="I91" i="2"/>
  <c r="H91" i="2"/>
  <c r="G91" i="2"/>
  <c r="E91" i="2"/>
  <c r="J90" i="2"/>
  <c r="I90" i="2"/>
  <c r="H90" i="2"/>
  <c r="G90" i="2"/>
  <c r="E90" i="2"/>
  <c r="J89" i="2"/>
  <c r="I89" i="2"/>
  <c r="H89" i="2"/>
  <c r="G89" i="2"/>
  <c r="E89" i="2"/>
  <c r="J88" i="2"/>
  <c r="I88" i="2"/>
  <c r="H88" i="2"/>
  <c r="G88" i="2"/>
  <c r="E88" i="2"/>
  <c r="J87" i="2"/>
  <c r="I87" i="2"/>
  <c r="H87" i="2"/>
  <c r="G87" i="2"/>
  <c r="E87" i="2"/>
  <c r="M86" i="2"/>
  <c r="L86" i="2"/>
  <c r="K86" i="2"/>
  <c r="J85" i="2"/>
  <c r="I85" i="2"/>
  <c r="H85" i="2"/>
  <c r="G85" i="2"/>
  <c r="E85" i="2"/>
  <c r="J84" i="2"/>
  <c r="I84" i="2"/>
  <c r="H84" i="2"/>
  <c r="G84" i="2"/>
  <c r="E84" i="2"/>
  <c r="J83" i="2"/>
  <c r="I83" i="2"/>
  <c r="H83" i="2"/>
  <c r="G83" i="2"/>
  <c r="E83" i="2"/>
  <c r="J82" i="2"/>
  <c r="I82" i="2"/>
  <c r="H82" i="2"/>
  <c r="G82" i="2"/>
  <c r="E82" i="2"/>
  <c r="F81" i="2"/>
  <c r="J80" i="2"/>
  <c r="I80" i="2"/>
  <c r="H80" i="2"/>
  <c r="G80" i="2"/>
  <c r="E80" i="2"/>
  <c r="J79" i="2"/>
  <c r="I79" i="2"/>
  <c r="H79" i="2"/>
  <c r="G79" i="2"/>
  <c r="E79" i="2"/>
  <c r="J78" i="2"/>
  <c r="I78" i="2"/>
  <c r="H78" i="2"/>
  <c r="G78" i="2"/>
  <c r="E78" i="2"/>
  <c r="M77" i="2"/>
  <c r="L77" i="2"/>
  <c r="K77" i="2"/>
  <c r="M76" i="2"/>
  <c r="L76" i="2"/>
  <c r="K76" i="2"/>
  <c r="J76" i="2"/>
  <c r="I76" i="2"/>
  <c r="H76" i="2"/>
  <c r="G76" i="2"/>
  <c r="E76" i="2"/>
  <c r="M75" i="2"/>
  <c r="L75" i="2"/>
  <c r="K75" i="2"/>
  <c r="J75" i="2"/>
  <c r="I75" i="2"/>
  <c r="H75" i="2"/>
  <c r="G75" i="2"/>
  <c r="E75" i="2"/>
  <c r="M74" i="2"/>
  <c r="L74" i="2"/>
  <c r="K74" i="2"/>
  <c r="J74" i="2"/>
  <c r="I74" i="2"/>
  <c r="H74" i="2"/>
  <c r="G74" i="2"/>
  <c r="E74" i="2"/>
  <c r="M73" i="2"/>
  <c r="L73" i="2"/>
  <c r="K73" i="2"/>
  <c r="J73" i="2"/>
  <c r="I73" i="2"/>
  <c r="H73" i="2"/>
  <c r="G73" i="2"/>
  <c r="E73" i="2"/>
  <c r="M72" i="2"/>
  <c r="L72" i="2"/>
  <c r="K72" i="2"/>
  <c r="J72" i="2"/>
  <c r="I72" i="2"/>
  <c r="H72" i="2"/>
  <c r="G72" i="2"/>
  <c r="E72" i="2"/>
  <c r="M71" i="2"/>
  <c r="L71" i="2"/>
  <c r="K71" i="2"/>
  <c r="J71" i="2"/>
  <c r="I71" i="2"/>
  <c r="H71" i="2"/>
  <c r="G71" i="2"/>
  <c r="E71" i="2"/>
  <c r="M70" i="2"/>
  <c r="L70" i="2"/>
  <c r="K70" i="2"/>
  <c r="J70" i="2"/>
  <c r="I70" i="2"/>
  <c r="H70" i="2"/>
  <c r="G70" i="2"/>
  <c r="E70" i="2"/>
  <c r="M69" i="2"/>
  <c r="L69" i="2"/>
  <c r="L68" i="2" s="1"/>
  <c r="K69" i="2"/>
  <c r="K68" i="2" s="1"/>
  <c r="J69" i="2"/>
  <c r="I69" i="2"/>
  <c r="H69" i="2"/>
  <c r="H68" i="2" s="1"/>
  <c r="G69" i="2"/>
  <c r="E69" i="2"/>
  <c r="M68" i="2"/>
  <c r="F67" i="2"/>
  <c r="J63" i="2"/>
  <c r="I63" i="2"/>
  <c r="H63" i="2"/>
  <c r="G63" i="2"/>
  <c r="E63" i="2"/>
  <c r="J62" i="2"/>
  <c r="I62" i="2"/>
  <c r="H62" i="2"/>
  <c r="G62" i="2"/>
  <c r="E62" i="2"/>
  <c r="F61" i="2"/>
  <c r="J60" i="2"/>
  <c r="I60" i="2"/>
  <c r="H60" i="2"/>
  <c r="G60" i="2"/>
  <c r="E60" i="2"/>
  <c r="J59" i="2"/>
  <c r="I59" i="2"/>
  <c r="H59" i="2"/>
  <c r="G59" i="2"/>
  <c r="E59" i="2"/>
  <c r="J58" i="2"/>
  <c r="I58" i="2"/>
  <c r="H58" i="2"/>
  <c r="G58" i="2"/>
  <c r="E58" i="2"/>
  <c r="J57" i="2"/>
  <c r="I57" i="2"/>
  <c r="H57" i="2"/>
  <c r="G57" i="2"/>
  <c r="E57" i="2"/>
  <c r="M56" i="2"/>
  <c r="L56" i="2"/>
  <c r="K56" i="2"/>
  <c r="J55" i="2"/>
  <c r="I55" i="2"/>
  <c r="H55" i="2"/>
  <c r="G55" i="2"/>
  <c r="E55" i="2"/>
  <c r="J54" i="2"/>
  <c r="I54" i="2"/>
  <c r="H54" i="2"/>
  <c r="G54" i="2"/>
  <c r="E54" i="2"/>
  <c r="J53" i="2"/>
  <c r="I53" i="2"/>
  <c r="H53" i="2"/>
  <c r="G53" i="2"/>
  <c r="E53" i="2"/>
  <c r="J52" i="2"/>
  <c r="I52" i="2"/>
  <c r="H52" i="2"/>
  <c r="G52" i="2"/>
  <c r="E52" i="2"/>
  <c r="J51" i="2"/>
  <c r="I51" i="2"/>
  <c r="H51" i="2"/>
  <c r="G51" i="2"/>
  <c r="E51" i="2"/>
  <c r="J50" i="2"/>
  <c r="I50" i="2"/>
  <c r="H50" i="2"/>
  <c r="G50" i="2"/>
  <c r="E50" i="2"/>
  <c r="J49" i="2"/>
  <c r="I49" i="2"/>
  <c r="H49" i="2"/>
  <c r="G49" i="2"/>
  <c r="E49" i="2"/>
  <c r="J48" i="2"/>
  <c r="I48" i="2"/>
  <c r="H48" i="2"/>
  <c r="G48" i="2"/>
  <c r="E48" i="2"/>
  <c r="J47" i="2"/>
  <c r="I47" i="2"/>
  <c r="H47" i="2"/>
  <c r="G47" i="2"/>
  <c r="E47" i="2"/>
  <c r="J46" i="2"/>
  <c r="I46" i="2"/>
  <c r="H46" i="2"/>
  <c r="G46" i="2"/>
  <c r="E46" i="2"/>
  <c r="J45" i="2"/>
  <c r="I45" i="2"/>
  <c r="H45" i="2"/>
  <c r="G45" i="2"/>
  <c r="E45" i="2"/>
  <c r="J44" i="2"/>
  <c r="I44" i="2"/>
  <c r="H44" i="2"/>
  <c r="G44" i="2"/>
  <c r="E44" i="2"/>
  <c r="J43" i="2"/>
  <c r="I43" i="2"/>
  <c r="H43" i="2"/>
  <c r="G43" i="2"/>
  <c r="E43" i="2"/>
  <c r="J42" i="2"/>
  <c r="I42" i="2"/>
  <c r="H42" i="2"/>
  <c r="G42" i="2"/>
  <c r="E42" i="2"/>
  <c r="J41" i="2"/>
  <c r="I41" i="2"/>
  <c r="H41" i="2"/>
  <c r="G41" i="2"/>
  <c r="E41" i="2"/>
  <c r="J40" i="2"/>
  <c r="I40" i="2"/>
  <c r="H40" i="2"/>
  <c r="G40" i="2"/>
  <c r="E40" i="2"/>
  <c r="M38" i="2"/>
  <c r="L38" i="2"/>
  <c r="K38" i="2"/>
  <c r="J37" i="2"/>
  <c r="I37" i="2"/>
  <c r="H37" i="2"/>
  <c r="G37" i="2"/>
  <c r="E37" i="2"/>
  <c r="J36" i="2"/>
  <c r="I36" i="2"/>
  <c r="H36" i="2"/>
  <c r="G36" i="2"/>
  <c r="E36" i="2"/>
  <c r="F35" i="2"/>
  <c r="F34" i="2"/>
  <c r="J33" i="2"/>
  <c r="I33" i="2"/>
  <c r="H33" i="2"/>
  <c r="G33" i="2"/>
  <c r="E33" i="2"/>
  <c r="J32" i="2"/>
  <c r="I32" i="2"/>
  <c r="H32" i="2"/>
  <c r="G32" i="2"/>
  <c r="E32" i="2"/>
  <c r="J31" i="2"/>
  <c r="I31" i="2"/>
  <c r="H31" i="2"/>
  <c r="G31" i="2"/>
  <c r="E31" i="2"/>
  <c r="J30" i="2"/>
  <c r="I30" i="2"/>
  <c r="H30" i="2"/>
  <c r="G30" i="2"/>
  <c r="E30" i="2"/>
  <c r="J29" i="2"/>
  <c r="I29" i="2"/>
  <c r="H29" i="2"/>
  <c r="G29" i="2"/>
  <c r="E29" i="2"/>
  <c r="J28" i="2"/>
  <c r="I28" i="2"/>
  <c r="H28" i="2"/>
  <c r="G28" i="2"/>
  <c r="E28" i="2"/>
  <c r="J27" i="2"/>
  <c r="I27" i="2"/>
  <c r="H27" i="2"/>
  <c r="G27" i="2"/>
  <c r="E27" i="2"/>
  <c r="J26" i="2"/>
  <c r="I26" i="2"/>
  <c r="H26" i="2"/>
  <c r="G26" i="2"/>
  <c r="E26" i="2"/>
  <c r="M25" i="2"/>
  <c r="M22" i="2" s="1"/>
  <c r="M64" i="2" s="1"/>
  <c r="L25" i="2"/>
  <c r="L22" i="2" s="1"/>
  <c r="L64" i="2" s="1"/>
  <c r="K25" i="2"/>
  <c r="K22" i="2" s="1"/>
  <c r="K64" i="2" s="1"/>
  <c r="F24" i="2"/>
  <c r="J23" i="2"/>
  <c r="I23" i="2"/>
  <c r="H23" i="2"/>
  <c r="G23" i="2"/>
  <c r="E23" i="2"/>
  <c r="F15" i="2"/>
  <c r="E15" i="2"/>
  <c r="F13" i="2"/>
  <c r="E13" i="2"/>
  <c r="B13" i="2"/>
  <c r="I11" i="2"/>
  <c r="H11" i="2"/>
  <c r="F11" i="2"/>
  <c r="B11" i="2"/>
  <c r="B8" i="2"/>
  <c r="J107" i="1"/>
  <c r="H107" i="1"/>
  <c r="G107" i="1"/>
  <c r="B107" i="1"/>
  <c r="J96" i="1"/>
  <c r="I96" i="1"/>
  <c r="H96" i="1"/>
  <c r="G96" i="1"/>
  <c r="E96" i="1"/>
  <c r="J95" i="1"/>
  <c r="I95" i="1"/>
  <c r="H95" i="1"/>
  <c r="G95" i="1"/>
  <c r="E95" i="1"/>
  <c r="J94" i="1"/>
  <c r="I94" i="1"/>
  <c r="H94" i="1"/>
  <c r="G94" i="1"/>
  <c r="E94" i="1"/>
  <c r="J93" i="1"/>
  <c r="I93" i="1"/>
  <c r="H93" i="1"/>
  <c r="G93" i="1"/>
  <c r="E93" i="1"/>
  <c r="J92" i="1"/>
  <c r="I92" i="1"/>
  <c r="H92" i="1"/>
  <c r="G92" i="1"/>
  <c r="E92" i="1"/>
  <c r="J91" i="1"/>
  <c r="I91" i="1"/>
  <c r="H91" i="1"/>
  <c r="G91" i="1"/>
  <c r="E91" i="1"/>
  <c r="J90" i="1"/>
  <c r="I90" i="1"/>
  <c r="H90" i="1"/>
  <c r="G90" i="1"/>
  <c r="E90" i="1"/>
  <c r="J89" i="1"/>
  <c r="I89" i="1"/>
  <c r="H89" i="1"/>
  <c r="G89" i="1"/>
  <c r="E89" i="1"/>
  <c r="J88" i="1"/>
  <c r="I88" i="1"/>
  <c r="H88" i="1"/>
  <c r="G88" i="1"/>
  <c r="E88" i="1"/>
  <c r="J87" i="1"/>
  <c r="I87" i="1"/>
  <c r="H87" i="1"/>
  <c r="G87" i="1"/>
  <c r="E87" i="1"/>
  <c r="M86" i="1"/>
  <c r="L86" i="1"/>
  <c r="K86" i="1"/>
  <c r="J85" i="1"/>
  <c r="I85" i="1"/>
  <c r="H85" i="1"/>
  <c r="G85" i="1"/>
  <c r="E85" i="1"/>
  <c r="J84" i="1"/>
  <c r="I84" i="1"/>
  <c r="H84" i="1"/>
  <c r="G84" i="1"/>
  <c r="E84" i="1"/>
  <c r="J83" i="1"/>
  <c r="I83" i="1"/>
  <c r="H83" i="1"/>
  <c r="G83" i="1"/>
  <c r="E83" i="1"/>
  <c r="J82" i="1"/>
  <c r="I82" i="1"/>
  <c r="H82" i="1"/>
  <c r="G82" i="1"/>
  <c r="E82" i="1"/>
  <c r="F81" i="1"/>
  <c r="J80" i="1"/>
  <c r="I80" i="1"/>
  <c r="H80" i="1"/>
  <c r="G80" i="1"/>
  <c r="E80" i="1"/>
  <c r="J79" i="1"/>
  <c r="I79" i="1"/>
  <c r="H79" i="1"/>
  <c r="G79" i="1"/>
  <c r="E79" i="1"/>
  <c r="J78" i="1"/>
  <c r="I78" i="1"/>
  <c r="H78" i="1"/>
  <c r="G78" i="1"/>
  <c r="E78" i="1"/>
  <c r="M77" i="1"/>
  <c r="L77" i="1"/>
  <c r="K77" i="1"/>
  <c r="M76" i="1"/>
  <c r="L76" i="1"/>
  <c r="K76" i="1"/>
  <c r="J76" i="1"/>
  <c r="I76" i="1"/>
  <c r="H76" i="1"/>
  <c r="G76" i="1"/>
  <c r="E76" i="1"/>
  <c r="M75" i="1"/>
  <c r="L75" i="1"/>
  <c r="K75" i="1"/>
  <c r="J75" i="1"/>
  <c r="I75" i="1"/>
  <c r="H75" i="1"/>
  <c r="G75" i="1"/>
  <c r="E75" i="1"/>
  <c r="M74" i="1"/>
  <c r="L74" i="1"/>
  <c r="K74" i="1"/>
  <c r="J74" i="1"/>
  <c r="I74" i="1"/>
  <c r="H74" i="1"/>
  <c r="G74" i="1"/>
  <c r="E74" i="1"/>
  <c r="M73" i="1"/>
  <c r="L73" i="1"/>
  <c r="K73" i="1"/>
  <c r="J73" i="1"/>
  <c r="I73" i="1"/>
  <c r="H73" i="1"/>
  <c r="G73" i="1"/>
  <c r="E73" i="1"/>
  <c r="M72" i="1"/>
  <c r="L72" i="1"/>
  <c r="K72" i="1"/>
  <c r="J72" i="1"/>
  <c r="I72" i="1"/>
  <c r="H72" i="1"/>
  <c r="G72" i="1"/>
  <c r="E72" i="1"/>
  <c r="M71" i="1"/>
  <c r="L71" i="1"/>
  <c r="K71" i="1"/>
  <c r="J71" i="1"/>
  <c r="I71" i="1"/>
  <c r="H71" i="1"/>
  <c r="G71" i="1"/>
  <c r="E71" i="1"/>
  <c r="M70" i="1"/>
  <c r="L70" i="1"/>
  <c r="K70" i="1"/>
  <c r="J70" i="1"/>
  <c r="I70" i="1"/>
  <c r="H70" i="1"/>
  <c r="G70" i="1"/>
  <c r="E70" i="1"/>
  <c r="M69" i="1"/>
  <c r="L69" i="1"/>
  <c r="L68" i="1" s="1"/>
  <c r="K69" i="1"/>
  <c r="J69" i="1"/>
  <c r="I69" i="1"/>
  <c r="H69" i="1"/>
  <c r="H68" i="1" s="1"/>
  <c r="G69" i="1"/>
  <c r="E69" i="1"/>
  <c r="M68" i="1"/>
  <c r="K68" i="1"/>
  <c r="F67" i="1"/>
  <c r="J63" i="1"/>
  <c r="I63" i="1"/>
  <c r="H63" i="1"/>
  <c r="G63" i="1"/>
  <c r="E63" i="1"/>
  <c r="J62" i="1"/>
  <c r="I62" i="1"/>
  <c r="H62" i="1"/>
  <c r="G62" i="1"/>
  <c r="E62" i="1"/>
  <c r="F61" i="1"/>
  <c r="J60" i="1"/>
  <c r="I60" i="1"/>
  <c r="H60" i="1"/>
  <c r="G60" i="1"/>
  <c r="E60" i="1"/>
  <c r="J59" i="1"/>
  <c r="I59" i="1"/>
  <c r="H59" i="1"/>
  <c r="G59" i="1"/>
  <c r="E59" i="1"/>
  <c r="J58" i="1"/>
  <c r="I58" i="1"/>
  <c r="H58" i="1"/>
  <c r="G58" i="1"/>
  <c r="E58" i="1"/>
  <c r="J57" i="1"/>
  <c r="I57" i="1"/>
  <c r="H57" i="1"/>
  <c r="G57" i="1"/>
  <c r="E57" i="1"/>
  <c r="M56" i="1"/>
  <c r="L56" i="1"/>
  <c r="K56" i="1"/>
  <c r="J55" i="1"/>
  <c r="I55" i="1"/>
  <c r="H55" i="1"/>
  <c r="G55" i="1"/>
  <c r="E55" i="1"/>
  <c r="J54" i="1"/>
  <c r="I54" i="1"/>
  <c r="H54" i="1"/>
  <c r="G54" i="1"/>
  <c r="E54" i="1"/>
  <c r="J53" i="1"/>
  <c r="I53" i="1"/>
  <c r="H53" i="1"/>
  <c r="G53" i="1"/>
  <c r="E53" i="1"/>
  <c r="J52" i="1"/>
  <c r="I52" i="1"/>
  <c r="H52" i="1"/>
  <c r="G52" i="1"/>
  <c r="E52" i="1"/>
  <c r="J51" i="1"/>
  <c r="I51" i="1"/>
  <c r="H51" i="1"/>
  <c r="G51" i="1"/>
  <c r="E51" i="1"/>
  <c r="J50" i="1"/>
  <c r="I50" i="1"/>
  <c r="H50" i="1"/>
  <c r="G50" i="1"/>
  <c r="E50" i="1"/>
  <c r="J49" i="1"/>
  <c r="I49" i="1"/>
  <c r="H49" i="1"/>
  <c r="G49" i="1"/>
  <c r="E49" i="1"/>
  <c r="J48" i="1"/>
  <c r="I48" i="1"/>
  <c r="H48" i="1"/>
  <c r="G48" i="1"/>
  <c r="E48" i="1"/>
  <c r="J47" i="1"/>
  <c r="I47" i="1"/>
  <c r="H47" i="1"/>
  <c r="G47" i="1"/>
  <c r="E47" i="1"/>
  <c r="J46" i="1"/>
  <c r="I46" i="1"/>
  <c r="H46" i="1"/>
  <c r="G46" i="1"/>
  <c r="E46" i="1"/>
  <c r="J45" i="1"/>
  <c r="I45" i="1"/>
  <c r="H45" i="1"/>
  <c r="G45" i="1"/>
  <c r="E45" i="1"/>
  <c r="J44" i="1"/>
  <c r="I44" i="1"/>
  <c r="H44" i="1"/>
  <c r="G44" i="1"/>
  <c r="E44" i="1"/>
  <c r="J43" i="1"/>
  <c r="I43" i="1"/>
  <c r="H43" i="1"/>
  <c r="G43" i="1"/>
  <c r="E43" i="1"/>
  <c r="J42" i="1"/>
  <c r="I42" i="1"/>
  <c r="H42" i="1"/>
  <c r="G42" i="1"/>
  <c r="E42" i="1"/>
  <c r="J41" i="1"/>
  <c r="I41" i="1"/>
  <c r="H41" i="1"/>
  <c r="G41" i="1"/>
  <c r="E41" i="1"/>
  <c r="J40" i="1"/>
  <c r="I40" i="1"/>
  <c r="H40" i="1"/>
  <c r="G40" i="1"/>
  <c r="E40" i="1"/>
  <c r="M38" i="1"/>
  <c r="L38" i="1"/>
  <c r="K38" i="1"/>
  <c r="J37" i="1"/>
  <c r="I37" i="1"/>
  <c r="H37" i="1"/>
  <c r="G37" i="1"/>
  <c r="E37" i="1"/>
  <c r="J36" i="1"/>
  <c r="I36" i="1"/>
  <c r="H36" i="1"/>
  <c r="G36" i="1"/>
  <c r="E36" i="1"/>
  <c r="F35" i="1"/>
  <c r="F34" i="1"/>
  <c r="J33" i="1"/>
  <c r="I33" i="1"/>
  <c r="H33" i="1"/>
  <c r="G33" i="1"/>
  <c r="E33" i="1"/>
  <c r="J32" i="1"/>
  <c r="I32" i="1"/>
  <c r="H32" i="1"/>
  <c r="G32" i="1"/>
  <c r="E32" i="1"/>
  <c r="J31" i="1"/>
  <c r="I31" i="1"/>
  <c r="H31" i="1"/>
  <c r="G31" i="1"/>
  <c r="E31" i="1"/>
  <c r="J30" i="1"/>
  <c r="I30" i="1"/>
  <c r="H30" i="1"/>
  <c r="G30" i="1"/>
  <c r="E30" i="1"/>
  <c r="J29" i="1"/>
  <c r="I29" i="1"/>
  <c r="H29" i="1"/>
  <c r="G29" i="1"/>
  <c r="E29" i="1"/>
  <c r="J28" i="1"/>
  <c r="I28" i="1"/>
  <c r="H28" i="1"/>
  <c r="G28" i="1"/>
  <c r="E28" i="1"/>
  <c r="J27" i="1"/>
  <c r="I27" i="1"/>
  <c r="H27" i="1"/>
  <c r="G27" i="1"/>
  <c r="E27" i="1"/>
  <c r="J26" i="1"/>
  <c r="I26" i="1"/>
  <c r="H26" i="1"/>
  <c r="G26" i="1"/>
  <c r="E26" i="1"/>
  <c r="M25" i="1"/>
  <c r="M22" i="1" s="1"/>
  <c r="M64" i="1" s="1"/>
  <c r="L25" i="1"/>
  <c r="L22" i="1" s="1"/>
  <c r="L64" i="1" s="1"/>
  <c r="K25" i="1"/>
  <c r="K22" i="1" s="1"/>
  <c r="K64" i="1" s="1"/>
  <c r="F24" i="1"/>
  <c r="J23" i="1"/>
  <c r="I23" i="1"/>
  <c r="H23" i="1"/>
  <c r="G23" i="1"/>
  <c r="E23" i="1"/>
  <c r="F15" i="1"/>
  <c r="E15" i="1"/>
  <c r="F13" i="1"/>
  <c r="E13" i="1"/>
  <c r="B13" i="1"/>
  <c r="I11" i="1"/>
  <c r="H11" i="1"/>
  <c r="F11" i="1"/>
  <c r="B11" i="1"/>
  <c r="B8" i="1"/>
  <c r="F60" i="8" l="1"/>
  <c r="E68" i="2"/>
  <c r="I65" i="10"/>
  <c r="E68" i="3"/>
  <c r="H68" i="5"/>
  <c r="F23" i="7"/>
  <c r="G39" i="7"/>
  <c r="H66" i="9"/>
  <c r="K65" i="1"/>
  <c r="F25" i="9"/>
  <c r="F22" i="9" s="1"/>
  <c r="M66" i="3"/>
  <c r="M66" i="5"/>
  <c r="M65" i="5" s="1"/>
  <c r="M66" i="6"/>
  <c r="J77" i="7"/>
  <c r="F86" i="9"/>
  <c r="J64" i="9"/>
  <c r="J105" i="9" s="1"/>
  <c r="E66" i="9"/>
  <c r="L66" i="2"/>
  <c r="L65" i="2" s="1"/>
  <c r="K66" i="1"/>
  <c r="L66" i="1"/>
  <c r="L65" i="1" s="1"/>
  <c r="G86" i="3"/>
  <c r="F78" i="8"/>
  <c r="F64" i="10"/>
  <c r="E86" i="2"/>
  <c r="H56" i="1"/>
  <c r="J56" i="2"/>
  <c r="J86" i="2"/>
  <c r="F77" i="9"/>
  <c r="E68" i="7"/>
  <c r="I39" i="1"/>
  <c r="F48" i="1"/>
  <c r="I86" i="3"/>
  <c r="F95" i="5"/>
  <c r="F28" i="6"/>
  <c r="F57" i="6"/>
  <c r="I77" i="8"/>
  <c r="F87" i="8"/>
  <c r="G39" i="2"/>
  <c r="F62" i="2"/>
  <c r="K66" i="2"/>
  <c r="K65" i="2" s="1"/>
  <c r="I56" i="7"/>
  <c r="K66" i="7"/>
  <c r="I39" i="8"/>
  <c r="I38" i="8" s="1"/>
  <c r="F39" i="9"/>
  <c r="M66" i="7"/>
  <c r="M65" i="7" s="1"/>
  <c r="F56" i="9"/>
  <c r="G65" i="10"/>
  <c r="M66" i="1"/>
  <c r="M65" i="1" s="1"/>
  <c r="G77" i="3"/>
  <c r="J86" i="3"/>
  <c r="F75" i="4"/>
  <c r="F23" i="5"/>
  <c r="F76" i="2"/>
  <c r="L66" i="3"/>
  <c r="L65" i="3" s="1"/>
  <c r="E39" i="4"/>
  <c r="F90" i="3"/>
  <c r="F93" i="7"/>
  <c r="J66" i="9"/>
  <c r="F66" i="10"/>
  <c r="F65" i="10" s="1"/>
  <c r="F51" i="2"/>
  <c r="F68" i="9"/>
  <c r="B65" i="11"/>
  <c r="B105" i="11"/>
  <c r="F32" i="4"/>
  <c r="F43" i="4"/>
  <c r="F41" i="6"/>
  <c r="F49" i="6"/>
  <c r="F79" i="6"/>
  <c r="F83" i="6"/>
  <c r="F29" i="8"/>
  <c r="F58" i="8"/>
  <c r="K66" i="8"/>
  <c r="F44" i="1"/>
  <c r="F52" i="1"/>
  <c r="F85" i="2"/>
  <c r="F95" i="2"/>
  <c r="F76" i="3"/>
  <c r="F75" i="5"/>
  <c r="G25" i="6"/>
  <c r="G22" i="6" s="1"/>
  <c r="I86" i="6"/>
  <c r="F89" i="6"/>
  <c r="L65" i="7"/>
  <c r="F76" i="7"/>
  <c r="E77" i="7"/>
  <c r="I64" i="9"/>
  <c r="I56" i="1"/>
  <c r="F92" i="2"/>
  <c r="J56" i="3"/>
  <c r="F53" i="4"/>
  <c r="F62" i="4"/>
  <c r="F52" i="5"/>
  <c r="E86" i="5"/>
  <c r="L66" i="6"/>
  <c r="L65" i="6" s="1"/>
  <c r="F31" i="8"/>
  <c r="M65" i="3"/>
  <c r="I25" i="3"/>
  <c r="I22" i="3" s="1"/>
  <c r="H25" i="4"/>
  <c r="H22" i="4" s="1"/>
  <c r="G38" i="7"/>
  <c r="I66" i="9"/>
  <c r="E86" i="1"/>
  <c r="F28" i="2"/>
  <c r="F36" i="2"/>
  <c r="F23" i="3"/>
  <c r="G39" i="3"/>
  <c r="G38" i="3" s="1"/>
  <c r="G56" i="3"/>
  <c r="F62" i="3"/>
  <c r="F47" i="4"/>
  <c r="E64" i="9"/>
  <c r="J105" i="10"/>
  <c r="J25" i="1"/>
  <c r="J22" i="1" s="1"/>
  <c r="G39" i="1"/>
  <c r="G38" i="1" s="1"/>
  <c r="F85" i="1"/>
  <c r="J86" i="1"/>
  <c r="F26" i="3"/>
  <c r="F45" i="3"/>
  <c r="F53" i="3"/>
  <c r="F37" i="5"/>
  <c r="K66" i="5"/>
  <c r="K65" i="5" s="1"/>
  <c r="K65" i="6"/>
  <c r="F93" i="6"/>
  <c r="F93" i="8"/>
  <c r="F75" i="1"/>
  <c r="F78" i="1"/>
  <c r="F92" i="1"/>
  <c r="F55" i="2"/>
  <c r="H56" i="4"/>
  <c r="H39" i="5"/>
  <c r="E39" i="5"/>
  <c r="F62" i="5"/>
  <c r="F70" i="6"/>
  <c r="F90" i="6"/>
  <c r="F59" i="8"/>
  <c r="H77" i="8"/>
  <c r="F32" i="1"/>
  <c r="E39" i="1"/>
  <c r="E38" i="1" s="1"/>
  <c r="F43" i="1"/>
  <c r="F73" i="1"/>
  <c r="F74" i="1"/>
  <c r="F88" i="1"/>
  <c r="G38" i="2"/>
  <c r="F75" i="2"/>
  <c r="E77" i="2"/>
  <c r="F30" i="3"/>
  <c r="F60" i="3"/>
  <c r="F94" i="3"/>
  <c r="F52" i="4"/>
  <c r="F88" i="4"/>
  <c r="F26" i="5"/>
  <c r="F40" i="5"/>
  <c r="F39" i="5" s="1"/>
  <c r="F58" i="5"/>
  <c r="F85" i="5"/>
  <c r="F90" i="5"/>
  <c r="E25" i="6"/>
  <c r="E22" i="6" s="1"/>
  <c r="F37" i="6"/>
  <c r="F48" i="6"/>
  <c r="F37" i="2"/>
  <c r="F43" i="2"/>
  <c r="F79" i="2"/>
  <c r="F59" i="7"/>
  <c r="F51" i="1"/>
  <c r="F62" i="1"/>
  <c r="F74" i="3"/>
  <c r="F79" i="3"/>
  <c r="J77" i="3"/>
  <c r="F83" i="3"/>
  <c r="F23" i="4"/>
  <c r="G39" i="4"/>
  <c r="F59" i="4"/>
  <c r="F36" i="5"/>
  <c r="I39" i="5"/>
  <c r="I38" i="5" s="1"/>
  <c r="F51" i="5"/>
  <c r="F60" i="5"/>
  <c r="F82" i="5"/>
  <c r="F92" i="5"/>
  <c r="F31" i="6"/>
  <c r="J25" i="6"/>
  <c r="J22" i="6" s="1"/>
  <c r="I56" i="6"/>
  <c r="F60" i="6"/>
  <c r="F37" i="7"/>
  <c r="G56" i="7"/>
  <c r="F79" i="7"/>
  <c r="H39" i="8"/>
  <c r="H38" i="8" s="1"/>
  <c r="F45" i="8"/>
  <c r="F53" i="8"/>
  <c r="H86" i="8"/>
  <c r="J77" i="1"/>
  <c r="F63" i="3"/>
  <c r="E77" i="4"/>
  <c r="J86" i="4"/>
  <c r="F33" i="5"/>
  <c r="F47" i="5"/>
  <c r="F55" i="5"/>
  <c r="F57" i="5"/>
  <c r="J56" i="5"/>
  <c r="F89" i="5"/>
  <c r="G25" i="7"/>
  <c r="G22" i="7" s="1"/>
  <c r="J25" i="7"/>
  <c r="J22" i="7" s="1"/>
  <c r="E86" i="7"/>
  <c r="E66" i="7" s="1"/>
  <c r="F90" i="7"/>
  <c r="I25" i="8"/>
  <c r="I22" i="8" s="1"/>
  <c r="F36" i="8"/>
  <c r="F50" i="8"/>
  <c r="E56" i="8"/>
  <c r="I56" i="8"/>
  <c r="I25" i="1"/>
  <c r="I22" i="1" s="1"/>
  <c r="F28" i="1"/>
  <c r="H25" i="1"/>
  <c r="H22" i="1" s="1"/>
  <c r="F36" i="1"/>
  <c r="J39" i="1"/>
  <c r="J38" i="1" s="1"/>
  <c r="F47" i="1"/>
  <c r="F55" i="1"/>
  <c r="E56" i="1"/>
  <c r="H86" i="1"/>
  <c r="H25" i="2"/>
  <c r="H22" i="2" s="1"/>
  <c r="F83" i="2"/>
  <c r="H86" i="2"/>
  <c r="H39" i="3"/>
  <c r="H38" i="3" s="1"/>
  <c r="E86" i="3"/>
  <c r="I39" i="4"/>
  <c r="I38" i="4" s="1"/>
  <c r="F54" i="4"/>
  <c r="H86" i="4"/>
  <c r="F44" i="5"/>
  <c r="H56" i="5"/>
  <c r="F84" i="5"/>
  <c r="E39" i="6"/>
  <c r="E38" i="6" s="1"/>
  <c r="F44" i="6"/>
  <c r="F45" i="6"/>
  <c r="F53" i="6"/>
  <c r="H56" i="6"/>
  <c r="F28" i="7"/>
  <c r="F47" i="7"/>
  <c r="F55" i="7"/>
  <c r="J86" i="7"/>
  <c r="F80" i="8"/>
  <c r="H64" i="9"/>
  <c r="J56" i="1"/>
  <c r="I86" i="1"/>
  <c r="F33" i="2"/>
  <c r="F47" i="2"/>
  <c r="F60" i="2"/>
  <c r="F89" i="2"/>
  <c r="F29" i="3"/>
  <c r="F93" i="3"/>
  <c r="F28" i="4"/>
  <c r="F41" i="5"/>
  <c r="F69" i="5"/>
  <c r="F70" i="5"/>
  <c r="F72" i="5"/>
  <c r="F73" i="5"/>
  <c r="F74" i="5"/>
  <c r="F94" i="5"/>
  <c r="F30" i="6"/>
  <c r="F69" i="6"/>
  <c r="F87" i="7"/>
  <c r="F92" i="7"/>
  <c r="F44" i="8"/>
  <c r="H56" i="8"/>
  <c r="F89" i="8"/>
  <c r="F91" i="8"/>
  <c r="F84" i="1"/>
  <c r="F30" i="2"/>
  <c r="F45" i="2"/>
  <c r="M66" i="2"/>
  <c r="M65" i="2" s="1"/>
  <c r="I77" i="2"/>
  <c r="F94" i="2"/>
  <c r="G25" i="3"/>
  <c r="G22" i="3" s="1"/>
  <c r="F31" i="3"/>
  <c r="F55" i="3"/>
  <c r="K66" i="3"/>
  <c r="K65" i="3" s="1"/>
  <c r="E77" i="3"/>
  <c r="F87" i="3"/>
  <c r="F55" i="4"/>
  <c r="E56" i="4"/>
  <c r="F60" i="4"/>
  <c r="L66" i="4"/>
  <c r="L65" i="4" s="1"/>
  <c r="F85" i="4"/>
  <c r="F49" i="5"/>
  <c r="F54" i="5"/>
  <c r="F76" i="5"/>
  <c r="F79" i="5"/>
  <c r="F30" i="7"/>
  <c r="F36" i="7"/>
  <c r="F60" i="7"/>
  <c r="I86" i="7"/>
  <c r="F30" i="8"/>
  <c r="F49" i="8"/>
  <c r="F55" i="8"/>
  <c r="F70" i="8"/>
  <c r="F49" i="1"/>
  <c r="F59" i="1"/>
  <c r="F63" i="1"/>
  <c r="H77" i="2"/>
  <c r="J25" i="3"/>
  <c r="J22" i="3" s="1"/>
  <c r="I77" i="3"/>
  <c r="M66" i="4"/>
  <c r="M65" i="4" s="1"/>
  <c r="F30" i="5"/>
  <c r="F43" i="5"/>
  <c r="F23" i="6"/>
  <c r="F76" i="6"/>
  <c r="F44" i="7"/>
  <c r="F71" i="7"/>
  <c r="F72" i="7"/>
  <c r="I77" i="7"/>
  <c r="F94" i="7"/>
  <c r="G105" i="10"/>
  <c r="F33" i="1"/>
  <c r="F40" i="1"/>
  <c r="F54" i="1"/>
  <c r="F82" i="1"/>
  <c r="F93" i="1"/>
  <c r="F23" i="2"/>
  <c r="E38" i="4"/>
  <c r="F78" i="6"/>
  <c r="F83" i="8"/>
  <c r="G77" i="8"/>
  <c r="F30" i="1"/>
  <c r="F53" i="1"/>
  <c r="I77" i="1"/>
  <c r="F80" i="1"/>
  <c r="F90" i="1"/>
  <c r="F90" i="2"/>
  <c r="F51" i="4"/>
  <c r="F23" i="1"/>
  <c r="F27" i="1"/>
  <c r="H39" i="1"/>
  <c r="H38" i="1" s="1"/>
  <c r="F50" i="1"/>
  <c r="F58" i="1"/>
  <c r="F70" i="1"/>
  <c r="F71" i="1"/>
  <c r="F72" i="1"/>
  <c r="E68" i="1"/>
  <c r="F87" i="1"/>
  <c r="F86" i="1" s="1"/>
  <c r="F95" i="1"/>
  <c r="F26" i="2"/>
  <c r="F37" i="3"/>
  <c r="I77" i="5"/>
  <c r="F78" i="5"/>
  <c r="I25" i="6"/>
  <c r="I22" i="6" s="1"/>
  <c r="F26" i="6"/>
  <c r="F26" i="7"/>
  <c r="J39" i="8"/>
  <c r="J38" i="8" s="1"/>
  <c r="F41" i="8"/>
  <c r="J68" i="8"/>
  <c r="F71" i="8"/>
  <c r="I38" i="1"/>
  <c r="F37" i="1"/>
  <c r="F46" i="1"/>
  <c r="F60" i="1"/>
  <c r="I68" i="1"/>
  <c r="F76" i="1"/>
  <c r="F79" i="1"/>
  <c r="F89" i="1"/>
  <c r="F33" i="8"/>
  <c r="L66" i="8"/>
  <c r="L65" i="8" s="1"/>
  <c r="F40" i="6"/>
  <c r="G39" i="6"/>
  <c r="G38" i="6" s="1"/>
  <c r="G68" i="7"/>
  <c r="F29" i="1"/>
  <c r="F57" i="1"/>
  <c r="J68" i="1"/>
  <c r="F83" i="1"/>
  <c r="F94" i="1"/>
  <c r="F94" i="6"/>
  <c r="E68" i="4"/>
  <c r="E25" i="1"/>
  <c r="E22" i="1" s="1"/>
  <c r="F45" i="1"/>
  <c r="F26" i="1"/>
  <c r="F31" i="1"/>
  <c r="F41" i="1"/>
  <c r="F42" i="1"/>
  <c r="E77" i="1"/>
  <c r="F91" i="1"/>
  <c r="H56" i="2"/>
  <c r="F96" i="1"/>
  <c r="F46" i="2"/>
  <c r="F52" i="2"/>
  <c r="F53" i="2"/>
  <c r="E56" i="2"/>
  <c r="I56" i="2"/>
  <c r="I68" i="2"/>
  <c r="F40" i="3"/>
  <c r="F42" i="3"/>
  <c r="F48" i="3"/>
  <c r="F50" i="3"/>
  <c r="F70" i="3"/>
  <c r="F73" i="3"/>
  <c r="F82" i="3"/>
  <c r="F84" i="3"/>
  <c r="F92" i="3"/>
  <c r="E25" i="4"/>
  <c r="E22" i="4" s="1"/>
  <c r="E64" i="4" s="1"/>
  <c r="F37" i="4"/>
  <c r="F41" i="4"/>
  <c r="F63" i="4"/>
  <c r="F71" i="4"/>
  <c r="F72" i="4"/>
  <c r="F74" i="4"/>
  <c r="I86" i="4"/>
  <c r="I25" i="5"/>
  <c r="I22" i="5" s="1"/>
  <c r="G39" i="5"/>
  <c r="G38" i="5" s="1"/>
  <c r="F80" i="5"/>
  <c r="F87" i="5"/>
  <c r="J86" i="5"/>
  <c r="F93" i="5"/>
  <c r="H25" i="6"/>
  <c r="H22" i="6" s="1"/>
  <c r="F36" i="6"/>
  <c r="H39" i="6"/>
  <c r="H38" i="6" s="1"/>
  <c r="F58" i="6"/>
  <c r="F72" i="6"/>
  <c r="F73" i="6"/>
  <c r="F74" i="6"/>
  <c r="F75" i="6"/>
  <c r="F82" i="6"/>
  <c r="H86" i="6"/>
  <c r="F96" i="6"/>
  <c r="F31" i="7"/>
  <c r="E39" i="7"/>
  <c r="E38" i="7" s="1"/>
  <c r="F45" i="7"/>
  <c r="F46" i="7"/>
  <c r="F54" i="7"/>
  <c r="F63" i="7"/>
  <c r="H68" i="7"/>
  <c r="F74" i="7"/>
  <c r="F82" i="7"/>
  <c r="E25" i="8"/>
  <c r="E22" i="8" s="1"/>
  <c r="F32" i="8"/>
  <c r="K64" i="8"/>
  <c r="F43" i="8"/>
  <c r="F48" i="8"/>
  <c r="F54" i="8"/>
  <c r="F94" i="8"/>
  <c r="F27" i="2"/>
  <c r="F40" i="2"/>
  <c r="F41" i="2"/>
  <c r="F57" i="2"/>
  <c r="J68" i="2"/>
  <c r="F71" i="2"/>
  <c r="F36" i="3"/>
  <c r="J39" i="3"/>
  <c r="J38" i="3" s="1"/>
  <c r="F47" i="3"/>
  <c r="E56" i="3"/>
  <c r="F80" i="3"/>
  <c r="F95" i="3"/>
  <c r="F26" i="4"/>
  <c r="F29" i="4"/>
  <c r="I25" i="4"/>
  <c r="I22" i="4" s="1"/>
  <c r="F44" i="4"/>
  <c r="F58" i="4"/>
  <c r="F70" i="4"/>
  <c r="F73" i="4"/>
  <c r="F76" i="4"/>
  <c r="G77" i="4"/>
  <c r="F83" i="4"/>
  <c r="F84" i="4"/>
  <c r="F89" i="4"/>
  <c r="F92" i="4"/>
  <c r="F94" i="4"/>
  <c r="F31" i="5"/>
  <c r="J25" i="5"/>
  <c r="J22" i="5" s="1"/>
  <c r="F46" i="5"/>
  <c r="F53" i="5"/>
  <c r="E56" i="5"/>
  <c r="I56" i="5"/>
  <c r="I68" i="5"/>
  <c r="E77" i="5"/>
  <c r="H77" i="5"/>
  <c r="H66" i="5" s="1"/>
  <c r="F33" i="6"/>
  <c r="I39" i="6"/>
  <c r="I38" i="6" s="1"/>
  <c r="F42" i="6"/>
  <c r="F39" i="6" s="1"/>
  <c r="F50" i="6"/>
  <c r="F62" i="6"/>
  <c r="H68" i="6"/>
  <c r="F80" i="6"/>
  <c r="F84" i="6"/>
  <c r="I25" i="7"/>
  <c r="I22" i="7" s="1"/>
  <c r="F40" i="7"/>
  <c r="F48" i="7"/>
  <c r="F53" i="7"/>
  <c r="F62" i="7"/>
  <c r="I68" i="7"/>
  <c r="F73" i="7"/>
  <c r="F80" i="7"/>
  <c r="F95" i="7"/>
  <c r="F42" i="8"/>
  <c r="J56" i="8"/>
  <c r="F63" i="8"/>
  <c r="F82" i="8"/>
  <c r="F88" i="8"/>
  <c r="F86" i="8" s="1"/>
  <c r="G64" i="9"/>
  <c r="E25" i="2"/>
  <c r="E22" i="2" s="1"/>
  <c r="H39" i="2"/>
  <c r="H38" i="2" s="1"/>
  <c r="E39" i="2"/>
  <c r="E38" i="2" s="1"/>
  <c r="F54" i="2"/>
  <c r="F88" i="2"/>
  <c r="F91" i="2"/>
  <c r="F27" i="3"/>
  <c r="F33" i="3"/>
  <c r="E39" i="3"/>
  <c r="E38" i="3" s="1"/>
  <c r="F89" i="3"/>
  <c r="F31" i="4"/>
  <c r="F49" i="4"/>
  <c r="F50" i="4"/>
  <c r="F91" i="4"/>
  <c r="H25" i="5"/>
  <c r="H22" i="5" s="1"/>
  <c r="J39" i="5"/>
  <c r="J38" i="5" s="1"/>
  <c r="J68" i="5"/>
  <c r="F96" i="5"/>
  <c r="F27" i="6"/>
  <c r="F47" i="6"/>
  <c r="F55" i="6"/>
  <c r="E56" i="6"/>
  <c r="I68" i="6"/>
  <c r="J86" i="6"/>
  <c r="J39" i="7"/>
  <c r="J38" i="7" s="1"/>
  <c r="E56" i="7"/>
  <c r="F89" i="7"/>
  <c r="H25" i="8"/>
  <c r="H22" i="8" s="1"/>
  <c r="E39" i="8"/>
  <c r="E38" i="8" s="1"/>
  <c r="F51" i="8"/>
  <c r="F69" i="8"/>
  <c r="E68" i="8"/>
  <c r="F29" i="2"/>
  <c r="F32" i="2"/>
  <c r="I39" i="2"/>
  <c r="I38" i="2" s="1"/>
  <c r="F42" i="2"/>
  <c r="F48" i="2"/>
  <c r="F49" i="2"/>
  <c r="F59" i="2"/>
  <c r="F78" i="2"/>
  <c r="F32" i="3"/>
  <c r="F41" i="3"/>
  <c r="F49" i="3"/>
  <c r="F57" i="3"/>
  <c r="G38" i="4"/>
  <c r="F28" i="5"/>
  <c r="H38" i="5"/>
  <c r="E38" i="5"/>
  <c r="J68" i="6"/>
  <c r="F27" i="7"/>
  <c r="F33" i="7"/>
  <c r="J56" i="7"/>
  <c r="G77" i="7"/>
  <c r="F83" i="7"/>
  <c r="F84" i="7"/>
  <c r="G86" i="7"/>
  <c r="F85" i="8"/>
  <c r="F90" i="8"/>
  <c r="F96" i="8"/>
  <c r="F66" i="9"/>
  <c r="F82" i="2"/>
  <c r="I86" i="2"/>
  <c r="F93" i="2"/>
  <c r="F44" i="3"/>
  <c r="F46" i="3"/>
  <c r="F52" i="3"/>
  <c r="F54" i="3"/>
  <c r="F91" i="3"/>
  <c r="J25" i="4"/>
  <c r="J22" i="4" s="1"/>
  <c r="F36" i="4"/>
  <c r="F40" i="4"/>
  <c r="F46" i="4"/>
  <c r="F57" i="4"/>
  <c r="J77" i="4"/>
  <c r="F27" i="5"/>
  <c r="F42" i="5"/>
  <c r="F45" i="5"/>
  <c r="F48" i="5"/>
  <c r="F59" i="5"/>
  <c r="F83" i="5"/>
  <c r="F29" i="6"/>
  <c r="F32" i="6"/>
  <c r="F52" i="6"/>
  <c r="J77" i="6"/>
  <c r="F92" i="6"/>
  <c r="F32" i="7"/>
  <c r="F41" i="7"/>
  <c r="F42" i="7"/>
  <c r="F49" i="7"/>
  <c r="F50" i="7"/>
  <c r="F57" i="7"/>
  <c r="H77" i="7"/>
  <c r="F91" i="7"/>
  <c r="F37" i="8"/>
  <c r="F73" i="8"/>
  <c r="F74" i="8"/>
  <c r="J77" i="8"/>
  <c r="F84" i="8"/>
  <c r="F95" i="8"/>
  <c r="G66" i="9"/>
  <c r="I25" i="2"/>
  <c r="I22" i="2" s="1"/>
  <c r="F50" i="2"/>
  <c r="F63" i="2"/>
  <c r="F87" i="2"/>
  <c r="F96" i="2"/>
  <c r="H25" i="3"/>
  <c r="H22" i="3" s="1"/>
  <c r="E25" i="3"/>
  <c r="E22" i="3" s="1"/>
  <c r="F43" i="3"/>
  <c r="F51" i="3"/>
  <c r="F85" i="3"/>
  <c r="F96" i="3"/>
  <c r="F30" i="4"/>
  <c r="F33" i="4"/>
  <c r="F42" i="4"/>
  <c r="F45" i="4"/>
  <c r="H77" i="4"/>
  <c r="F82" i="4"/>
  <c r="E86" i="4"/>
  <c r="F90" i="4"/>
  <c r="F93" i="4"/>
  <c r="F96" i="4"/>
  <c r="E25" i="5"/>
  <c r="E22" i="5" s="1"/>
  <c r="F88" i="5"/>
  <c r="F46" i="6"/>
  <c r="F54" i="6"/>
  <c r="F59" i="6"/>
  <c r="H77" i="6"/>
  <c r="F91" i="6"/>
  <c r="H39" i="7"/>
  <c r="H38" i="7" s="1"/>
  <c r="F52" i="7"/>
  <c r="F85" i="7"/>
  <c r="F96" i="7"/>
  <c r="F28" i="8"/>
  <c r="F47" i="8"/>
  <c r="F72" i="8"/>
  <c r="F76" i="8"/>
  <c r="E77" i="8"/>
  <c r="J86" i="8"/>
  <c r="F38" i="9"/>
  <c r="F31" i="2"/>
  <c r="J25" i="2"/>
  <c r="J22" i="2" s="1"/>
  <c r="F44" i="2"/>
  <c r="F58" i="2"/>
  <c r="F69" i="2"/>
  <c r="F70" i="2"/>
  <c r="F72" i="2"/>
  <c r="F73" i="2"/>
  <c r="F74" i="2"/>
  <c r="J77" i="2"/>
  <c r="F80" i="2"/>
  <c r="F84" i="2"/>
  <c r="F28" i="3"/>
  <c r="F59" i="3"/>
  <c r="F69" i="3"/>
  <c r="F71" i="3"/>
  <c r="F72" i="3"/>
  <c r="F75" i="3"/>
  <c r="H77" i="3"/>
  <c r="F27" i="4"/>
  <c r="J39" i="4"/>
  <c r="J38" i="4" s="1"/>
  <c r="F48" i="4"/>
  <c r="I56" i="4"/>
  <c r="I77" i="4"/>
  <c r="I66" i="4" s="1"/>
  <c r="F80" i="4"/>
  <c r="F87" i="4"/>
  <c r="F95" i="4"/>
  <c r="F29" i="5"/>
  <c r="F32" i="5"/>
  <c r="F50" i="5"/>
  <c r="F63" i="5"/>
  <c r="J77" i="5"/>
  <c r="F91" i="5"/>
  <c r="F43" i="6"/>
  <c r="F51" i="6"/>
  <c r="J56" i="6"/>
  <c r="F63" i="6"/>
  <c r="E68" i="6"/>
  <c r="I77" i="6"/>
  <c r="F85" i="6"/>
  <c r="E86" i="6"/>
  <c r="F88" i="6"/>
  <c r="F86" i="6" s="1"/>
  <c r="F29" i="7"/>
  <c r="E25" i="7"/>
  <c r="E22" i="7" s="1"/>
  <c r="F43" i="7"/>
  <c r="F51" i="7"/>
  <c r="F27" i="8"/>
  <c r="J25" i="8"/>
  <c r="J22" i="8" s="1"/>
  <c r="F40" i="8"/>
  <c r="F46" i="8"/>
  <c r="F52" i="8"/>
  <c r="F57" i="8"/>
  <c r="F62" i="8"/>
  <c r="I68" i="8"/>
  <c r="E86" i="8"/>
  <c r="F92" i="8"/>
  <c r="J65" i="9"/>
  <c r="M65" i="8"/>
  <c r="F23" i="8"/>
  <c r="G25" i="8"/>
  <c r="G22" i="8" s="1"/>
  <c r="F26" i="8"/>
  <c r="G39" i="8"/>
  <c r="G38" i="8" s="1"/>
  <c r="F79" i="8"/>
  <c r="I86" i="8"/>
  <c r="F75" i="8"/>
  <c r="G68" i="8"/>
  <c r="G56" i="8"/>
  <c r="G86" i="8"/>
  <c r="K65" i="7"/>
  <c r="J66" i="7"/>
  <c r="H56" i="7"/>
  <c r="F75" i="7"/>
  <c r="H86" i="7"/>
  <c r="H25" i="7"/>
  <c r="H22" i="7" s="1"/>
  <c r="F69" i="7"/>
  <c r="I39" i="7"/>
  <c r="I38" i="7" s="1"/>
  <c r="F70" i="7"/>
  <c r="F78" i="7"/>
  <c r="F58" i="7"/>
  <c r="F88" i="7"/>
  <c r="M65" i="6"/>
  <c r="G68" i="6"/>
  <c r="G77" i="6"/>
  <c r="J39" i="6"/>
  <c r="J38" i="6" s="1"/>
  <c r="F71" i="6"/>
  <c r="G56" i="6"/>
  <c r="G86" i="6"/>
  <c r="L65" i="5"/>
  <c r="G68" i="5"/>
  <c r="G25" i="5"/>
  <c r="G22" i="5" s="1"/>
  <c r="G77" i="5"/>
  <c r="F71" i="5"/>
  <c r="G56" i="5"/>
  <c r="G86" i="5"/>
  <c r="K65" i="4"/>
  <c r="G25" i="4"/>
  <c r="G22" i="4" s="1"/>
  <c r="F79" i="4"/>
  <c r="H39" i="4"/>
  <c r="H38" i="4" s="1"/>
  <c r="H64" i="4" s="1"/>
  <c r="G68" i="4"/>
  <c r="F69" i="4"/>
  <c r="H68" i="4"/>
  <c r="F78" i="4"/>
  <c r="G56" i="4"/>
  <c r="G86" i="4"/>
  <c r="H56" i="3"/>
  <c r="H86" i="3"/>
  <c r="G68" i="3"/>
  <c r="G66" i="3" s="1"/>
  <c r="I39" i="3"/>
  <c r="I38" i="3" s="1"/>
  <c r="H68" i="3"/>
  <c r="F78" i="3"/>
  <c r="F58" i="3"/>
  <c r="F88" i="3"/>
  <c r="F86" i="3" s="1"/>
  <c r="G25" i="2"/>
  <c r="G22" i="2" s="1"/>
  <c r="G68" i="2"/>
  <c r="G77" i="2"/>
  <c r="J39" i="2"/>
  <c r="J38" i="2" s="1"/>
  <c r="G56" i="2"/>
  <c r="G86" i="2"/>
  <c r="G25" i="1"/>
  <c r="G22" i="1" s="1"/>
  <c r="G68" i="1"/>
  <c r="F69" i="1"/>
  <c r="G77" i="1"/>
  <c r="H77" i="1"/>
  <c r="H66" i="1" s="1"/>
  <c r="G56" i="1"/>
  <c r="G86" i="1"/>
  <c r="J66" i="3" l="1"/>
  <c r="E105" i="9"/>
  <c r="F25" i="4"/>
  <c r="F22" i="4" s="1"/>
  <c r="J66" i="8"/>
  <c r="K65" i="8"/>
  <c r="H65" i="9"/>
  <c r="G105" i="9"/>
  <c r="E64" i="8"/>
  <c r="J66" i="1"/>
  <c r="H64" i="5"/>
  <c r="H105" i="5" s="1"/>
  <c r="F56" i="7"/>
  <c r="I64" i="1"/>
  <c r="H105" i="9"/>
  <c r="F86" i="4"/>
  <c r="E65" i="9"/>
  <c r="F56" i="3"/>
  <c r="F86" i="2"/>
  <c r="E64" i="1"/>
  <c r="E65" i="1" s="1"/>
  <c r="F77" i="3"/>
  <c r="F64" i="9"/>
  <c r="I66" i="3"/>
  <c r="E66" i="3"/>
  <c r="F56" i="5"/>
  <c r="E66" i="2"/>
  <c r="F56" i="6"/>
  <c r="F77" i="7"/>
  <c r="F86" i="7"/>
  <c r="F25" i="1"/>
  <c r="H64" i="8"/>
  <c r="H105" i="8" s="1"/>
  <c r="F56" i="4"/>
  <c r="F39" i="3"/>
  <c r="F38" i="3" s="1"/>
  <c r="F64" i="3" s="1"/>
  <c r="F105" i="10"/>
  <c r="E66" i="1"/>
  <c r="I105" i="9"/>
  <c r="H64" i="2"/>
  <c r="F39" i="1"/>
  <c r="F38" i="1" s="1"/>
  <c r="F25" i="5"/>
  <c r="F22" i="5" s="1"/>
  <c r="I64" i="8"/>
  <c r="I64" i="6"/>
  <c r="F56" i="1"/>
  <c r="G64" i="3"/>
  <c r="G65" i="3" s="1"/>
  <c r="J64" i="6"/>
  <c r="I65" i="9"/>
  <c r="J64" i="4"/>
  <c r="E66" i="5"/>
  <c r="J66" i="4"/>
  <c r="J65" i="4" s="1"/>
  <c r="H66" i="8"/>
  <c r="F38" i="5"/>
  <c r="I64" i="5"/>
  <c r="J64" i="1"/>
  <c r="J65" i="1" s="1"/>
  <c r="H66" i="2"/>
  <c r="G64" i="7"/>
  <c r="F38" i="6"/>
  <c r="I64" i="7"/>
  <c r="H64" i="6"/>
  <c r="H66" i="7"/>
  <c r="F77" i="1"/>
  <c r="F68" i="5"/>
  <c r="I66" i="8"/>
  <c r="J64" i="7"/>
  <c r="J65" i="7" s="1"/>
  <c r="F25" i="8"/>
  <c r="F22" i="8" s="1"/>
  <c r="E64" i="5"/>
  <c r="G64" i="6"/>
  <c r="I66" i="7"/>
  <c r="I64" i="3"/>
  <c r="I105" i="3" s="1"/>
  <c r="G105" i="3"/>
  <c r="F68" i="6"/>
  <c r="E64" i="7"/>
  <c r="F39" i="4"/>
  <c r="J64" i="5"/>
  <c r="E66" i="4"/>
  <c r="E65" i="4" s="1"/>
  <c r="F77" i="6"/>
  <c r="F56" i="8"/>
  <c r="E64" i="2"/>
  <c r="E105" i="2" s="1"/>
  <c r="F39" i="2"/>
  <c r="F38" i="2" s="1"/>
  <c r="F68" i="8"/>
  <c r="I66" i="5"/>
  <c r="G64" i="8"/>
  <c r="H64" i="3"/>
  <c r="G65" i="9"/>
  <c r="E64" i="3"/>
  <c r="F86" i="5"/>
  <c r="F68" i="2"/>
  <c r="F77" i="5"/>
  <c r="F25" i="2"/>
  <c r="F22" i="2" s="1"/>
  <c r="G64" i="1"/>
  <c r="E105" i="4"/>
  <c r="I64" i="2"/>
  <c r="J64" i="3"/>
  <c r="J105" i="3" s="1"/>
  <c r="H64" i="1"/>
  <c r="H65" i="1" s="1"/>
  <c r="H66" i="3"/>
  <c r="J66" i="6"/>
  <c r="F25" i="3"/>
  <c r="F22" i="3" s="1"/>
  <c r="I64" i="4"/>
  <c r="F22" i="1"/>
  <c r="F64" i="1" s="1"/>
  <c r="B65" i="10"/>
  <c r="B105" i="10"/>
  <c r="F65" i="9"/>
  <c r="F105" i="9"/>
  <c r="F38" i="4"/>
  <c r="F64" i="4" s="1"/>
  <c r="J64" i="2"/>
  <c r="H66" i="4"/>
  <c r="H65" i="4" s="1"/>
  <c r="I66" i="1"/>
  <c r="I105" i="1" s="1"/>
  <c r="F25" i="7"/>
  <c r="F22" i="7" s="1"/>
  <c r="F77" i="4"/>
  <c r="G66" i="7"/>
  <c r="F68" i="4"/>
  <c r="E66" i="6"/>
  <c r="F68" i="3"/>
  <c r="F77" i="2"/>
  <c r="J66" i="5"/>
  <c r="J105" i="5" s="1"/>
  <c r="F39" i="7"/>
  <c r="F38" i="7" s="1"/>
  <c r="F25" i="6"/>
  <c r="F22" i="6" s="1"/>
  <c r="F68" i="1"/>
  <c r="G66" i="4"/>
  <c r="F68" i="7"/>
  <c r="E66" i="8"/>
  <c r="E65" i="8" s="1"/>
  <c r="J66" i="2"/>
  <c r="I66" i="6"/>
  <c r="I65" i="6" s="1"/>
  <c r="F56" i="2"/>
  <c r="E64" i="6"/>
  <c r="J105" i="7"/>
  <c r="F77" i="8"/>
  <c r="F66" i="8" s="1"/>
  <c r="F39" i="8"/>
  <c r="F38" i="8" s="1"/>
  <c r="G64" i="4"/>
  <c r="J64" i="8"/>
  <c r="J105" i="8" s="1"/>
  <c r="H66" i="6"/>
  <c r="H65" i="6" s="1"/>
  <c r="I66" i="2"/>
  <c r="G66" i="8"/>
  <c r="H64" i="7"/>
  <c r="E65" i="7"/>
  <c r="E105" i="7"/>
  <c r="G66" i="6"/>
  <c r="H65" i="5"/>
  <c r="G64" i="5"/>
  <c r="G66" i="5"/>
  <c r="J105" i="4"/>
  <c r="H105" i="3"/>
  <c r="G66" i="2"/>
  <c r="F66" i="2"/>
  <c r="G64" i="2"/>
  <c r="G66" i="1"/>
  <c r="G105" i="1" s="1"/>
  <c r="E65" i="3" l="1"/>
  <c r="E105" i="3"/>
  <c r="G105" i="6"/>
  <c r="I105" i="7"/>
  <c r="F64" i="5"/>
  <c r="I65" i="1"/>
  <c r="G65" i="8"/>
  <c r="H65" i="8"/>
  <c r="I65" i="8"/>
  <c r="H105" i="2"/>
  <c r="J105" i="1"/>
  <c r="H65" i="2"/>
  <c r="F66" i="3"/>
  <c r="F105" i="3" s="1"/>
  <c r="F66" i="1"/>
  <c r="H105" i="1"/>
  <c r="I65" i="3"/>
  <c r="I105" i="2"/>
  <c r="F64" i="6"/>
  <c r="F65" i="6" s="1"/>
  <c r="E105" i="1"/>
  <c r="J65" i="6"/>
  <c r="I105" i="5"/>
  <c r="H105" i="4"/>
  <c r="F66" i="7"/>
  <c r="H65" i="3"/>
  <c r="I65" i="7"/>
  <c r="F105" i="1"/>
  <c r="B65" i="9"/>
  <c r="F66" i="6"/>
  <c r="I105" i="8"/>
  <c r="F66" i="5"/>
  <c r="F65" i="5" s="1"/>
  <c r="H105" i="6"/>
  <c r="F66" i="4"/>
  <c r="F105" i="4" s="1"/>
  <c r="E65" i="5"/>
  <c r="E105" i="5"/>
  <c r="I65" i="2"/>
  <c r="J105" i="6"/>
  <c r="I65" i="5"/>
  <c r="G105" i="8"/>
  <c r="G105" i="4"/>
  <c r="J65" i="3"/>
  <c r="E65" i="2"/>
  <c r="I65" i="4"/>
  <c r="I105" i="4"/>
  <c r="J105" i="2"/>
  <c r="I105" i="6"/>
  <c r="F64" i="2"/>
  <c r="F65" i="2" s="1"/>
  <c r="J65" i="5"/>
  <c r="J65" i="2"/>
  <c r="B105" i="9"/>
  <c r="E65" i="6"/>
  <c r="E105" i="6"/>
  <c r="G65" i="7"/>
  <c r="G105" i="7"/>
  <c r="E105" i="8"/>
  <c r="G65" i="1"/>
  <c r="J65" i="8"/>
  <c r="F64" i="7"/>
  <c r="F64" i="8"/>
  <c r="F105" i="8" s="1"/>
  <c r="G65" i="4"/>
  <c r="H105" i="7"/>
  <c r="H65" i="7"/>
  <c r="G65" i="6"/>
  <c r="G65" i="5"/>
  <c r="G105" i="5"/>
  <c r="F105" i="5"/>
  <c r="F65" i="3"/>
  <c r="G65" i="2"/>
  <c r="G105" i="2"/>
  <c r="F65" i="1"/>
  <c r="B65" i="1" s="1"/>
  <c r="F105" i="6" l="1"/>
  <c r="F65" i="4"/>
  <c r="B65" i="4" s="1"/>
  <c r="B105" i="3"/>
  <c r="B65" i="3"/>
  <c r="F105" i="2"/>
  <c r="B105" i="2"/>
  <c r="B65" i="6"/>
  <c r="B105" i="6"/>
  <c r="F65" i="8"/>
  <c r="B105" i="8" s="1"/>
  <c r="F65" i="7"/>
  <c r="B105" i="7" s="1"/>
  <c r="F105" i="7"/>
  <c r="B105" i="1"/>
  <c r="B65" i="5"/>
  <c r="B105" i="5"/>
  <c r="B65" i="2"/>
  <c r="B105" i="4" l="1"/>
  <c r="B65" i="7"/>
  <c r="B65" i="8"/>
</calcChain>
</file>

<file path=xl/comments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0.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1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3.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4.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5.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6.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7.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8.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9.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sharedStrings.xml><?xml version="1.0" encoding="utf-8"?>
<sst xmlns="http://schemas.openxmlformats.org/spreadsheetml/2006/main" count="2964" uniqueCount="175">
  <si>
    <t>към</t>
  </si>
  <si>
    <t>ЕИК/БУЛСТАТ</t>
  </si>
  <si>
    <t xml:space="preserve">                                  (наименование на разпоредителя с бюджет)</t>
  </si>
  <si>
    <t>код от регистъра на бюджетните организации в СЕБРА</t>
  </si>
  <si>
    <t xml:space="preserve">               (наименование на първостепенния разпоредител с бюджет)</t>
  </si>
  <si>
    <t>финансово-правна форма</t>
  </si>
  <si>
    <t>(в левове)</t>
  </si>
  <si>
    <t>§§</t>
  </si>
  <si>
    <t>Годишен         уточнен план                           2023 г.</t>
  </si>
  <si>
    <t>ОТЧЕТ               2023 г.</t>
  </si>
  <si>
    <t xml:space="preserve">                                      ОТЧЕТНИ ДАННИ ЗА:</t>
  </si>
  <si>
    <t>§§ от ЕБК, които се включват в съответния показател</t>
  </si>
  <si>
    <t>П О К А З А Т Е Л И</t>
  </si>
  <si>
    <t xml:space="preserve">левови
 сметки и СЕБРА </t>
  </si>
  <si>
    <t xml:space="preserve">валутни 
сметки </t>
  </si>
  <si>
    <t>операции в брой (в левове и валута)</t>
  </si>
  <si>
    <t>операции приравнени на касов поток</t>
  </si>
  <si>
    <t>ОТЧЕТ</t>
  </si>
  <si>
    <t>(а)</t>
  </si>
  <si>
    <t>(1)</t>
  </si>
  <si>
    <t>(2)</t>
  </si>
  <si>
    <t>(3)</t>
  </si>
  <si>
    <t>(4)</t>
  </si>
  <si>
    <t>(5)</t>
  </si>
  <si>
    <t>(6)</t>
  </si>
  <si>
    <t>(код 4)</t>
  </si>
  <si>
    <t>(код 5)</t>
  </si>
  <si>
    <t>I. ПРИХОДИ, ПОМОЩИ И ДАРЕНИЯ</t>
  </si>
  <si>
    <t>§§ 01 - 48</t>
  </si>
  <si>
    <t>1. Данъчни приходи</t>
  </si>
  <si>
    <t xml:space="preserve">§§ 01 - 20  </t>
  </si>
  <si>
    <t>в т. ч. трансфери за отчислени приходи</t>
  </si>
  <si>
    <t>§ 65</t>
  </si>
  <si>
    <t>2. Други приходи</t>
  </si>
  <si>
    <t>§§ 24 - 42</t>
  </si>
  <si>
    <t xml:space="preserve">2.1 Приходи и доходи от собственост </t>
  </si>
  <si>
    <t>§24</t>
  </si>
  <si>
    <t>в т. ч.   вноски от приходи на държавни и общински предприятия и институции</t>
  </si>
  <si>
    <t>под.§ 24-01</t>
  </si>
  <si>
    <t xml:space="preserve">             нетни приходи от продажба на услуги, стоки и продукция</t>
  </si>
  <si>
    <t>под.§ 24-04</t>
  </si>
  <si>
    <t xml:space="preserve">             приходи от наеми на имущество и земя </t>
  </si>
  <si>
    <t>под.§§ 24-05 и 24-06</t>
  </si>
  <si>
    <t>2.2 Приходи от такси</t>
  </si>
  <si>
    <t>§§ 25 - 27</t>
  </si>
  <si>
    <t xml:space="preserve">2.3 Глоби, санкции и наказателни лихви </t>
  </si>
  <si>
    <t>§28</t>
  </si>
  <si>
    <t xml:space="preserve">2.4  Други неданъчни приходи </t>
  </si>
  <si>
    <t>§§ 36 - 37 и §§ 41 - 42</t>
  </si>
  <si>
    <t>2.5  Постъпления от продажба на нефинансови активи</t>
  </si>
  <si>
    <t>§ 40 с изключение на под.§ 40-71</t>
  </si>
  <si>
    <t>3. Помощи и  дарения от страната</t>
  </si>
  <si>
    <t xml:space="preserve">§ 45 </t>
  </si>
  <si>
    <t>4. Помощи и дарения от чужбина</t>
  </si>
  <si>
    <t xml:space="preserve">§§ 46 - 48  </t>
  </si>
  <si>
    <t xml:space="preserve">II. РАЗХОДИ </t>
  </si>
  <si>
    <t>§§ 01 - 57</t>
  </si>
  <si>
    <t>1. Персонал</t>
  </si>
  <si>
    <t>§ 01</t>
  </si>
  <si>
    <t>§§ 1 - 8</t>
  </si>
  <si>
    <t xml:space="preserve">1.1. Заплати и възнаграждения за персонала, нает по трудови и служебни прав. </t>
  </si>
  <si>
    <t xml:space="preserve">1.2. Други възнаграждения и плащания за персонала </t>
  </si>
  <si>
    <t>§ 02</t>
  </si>
  <si>
    <t>1.3. Осигурителни вноски</t>
  </si>
  <si>
    <t>§§ 05 и 08</t>
  </si>
  <si>
    <t xml:space="preserve">2. Издръжка </t>
  </si>
  <si>
    <t>§§ 10; 19; 46</t>
  </si>
  <si>
    <t xml:space="preserve">3. Лихви </t>
  </si>
  <si>
    <t>§§ 21 - 29</t>
  </si>
  <si>
    <t xml:space="preserve">в т. ч. външни </t>
  </si>
  <si>
    <t xml:space="preserve">§§ 25 - 28; 29-69/29-70 и 29-92 </t>
  </si>
  <si>
    <t>4. Социални разходи, стипендии</t>
  </si>
  <si>
    <t>§§ 39 - 42</t>
  </si>
  <si>
    <t>в т. ч. стипендии</t>
  </si>
  <si>
    <t>§ 40</t>
  </si>
  <si>
    <t xml:space="preserve">5.Субсидии </t>
  </si>
  <si>
    <t>§§ 43 - 45; 49</t>
  </si>
  <si>
    <t>§§ 43 - 45</t>
  </si>
  <si>
    <t>6. Придобиване на нeфинансови актииви</t>
  </si>
  <si>
    <t>§§ 51 - 54</t>
  </si>
  <si>
    <t>7. Капиталови трансфери</t>
  </si>
  <si>
    <t>§ 55</t>
  </si>
  <si>
    <t>8. Предоставени текущи и капиталови трансфери за чужбина</t>
  </si>
  <si>
    <t>(+ § 57 - под.§ 40-71)</t>
  </si>
  <si>
    <t>§ 49</t>
  </si>
  <si>
    <t xml:space="preserve">9. Прираст на държавния резерв и изкупуване на земеделска продукция </t>
  </si>
  <si>
    <t>в т. ч. плащания за попълване на държавния резерв</t>
  </si>
  <si>
    <t>под.§;57-01</t>
  </si>
  <si>
    <t xml:space="preserve">          постъпления от продажби на държавния резерв (-)</t>
  </si>
  <si>
    <t>(-)под.§ 40-71</t>
  </si>
  <si>
    <t>10. Резерв за непредвидини и неотложни разходи</t>
  </si>
  <si>
    <t>§;00-98</t>
  </si>
  <si>
    <t>III. Трансфери</t>
  </si>
  <si>
    <t xml:space="preserve">§§ 30 - 31; 32; 60 - 67; 69; 74 - 78 </t>
  </si>
  <si>
    <t xml:space="preserve">1. Трансфери от/за ЦБ за/от други бюджети </t>
  </si>
  <si>
    <t>§§ 30 - 31; 60</t>
  </si>
  <si>
    <t xml:space="preserve">2. Други трансфери </t>
  </si>
  <si>
    <t>§§ 32; 61- 67;  74 - 78</t>
  </si>
  <si>
    <t>в т. ч. временни безлихвени заеми</t>
  </si>
  <si>
    <t>§§ 74 - 78</t>
  </si>
  <si>
    <t xml:space="preserve">         трансфери за отчислени постъпления</t>
  </si>
  <si>
    <t>3. Трансфери за поети осигурителни вноски и данъци</t>
  </si>
  <si>
    <t>§ 69</t>
  </si>
  <si>
    <t>IV. Вноска в общия бюджет на ЕС</t>
  </si>
  <si>
    <t>§ 33</t>
  </si>
  <si>
    <t xml:space="preserve">V. Дефицит / излишък = I - II +III - IV </t>
  </si>
  <si>
    <t xml:space="preserve">VI. Финансиране </t>
  </si>
  <si>
    <t>§§ 70 - 98</t>
  </si>
  <si>
    <t>1. Външно финансиране</t>
  </si>
  <si>
    <t>§§ 80 - 82; 92-01; 95-21/95-22; 95-28/95-29 и 95-49</t>
  </si>
  <si>
    <t xml:space="preserve">            получени външни заеми </t>
  </si>
  <si>
    <t>под.§§ 80-11/80-12; 80-31/80-32; 80-51/80-52 и 80-97</t>
  </si>
  <si>
    <t xml:space="preserve">            погашения по външни заеми </t>
  </si>
  <si>
    <t>под.§§ 80-17/80-18; 80-37/80-38; 80-57/80-58; 80-80 и 80-98;</t>
  </si>
  <si>
    <t xml:space="preserve">            държавни /общински/ ЦК емитирани на м/нар. капиталови пазари </t>
  </si>
  <si>
    <t>§ 81</t>
  </si>
  <si>
    <t xml:space="preserve">            получени погашения по предоставени кредити от други държави </t>
  </si>
  <si>
    <t>§ 82</t>
  </si>
  <si>
    <t xml:space="preserve">            операции с др. ЦК и финансови активи </t>
  </si>
  <si>
    <t>под. § 92-01</t>
  </si>
  <si>
    <t xml:space="preserve">            остатък в лв.равн. по валутни сметки и каса в чужбина от предх. период </t>
  </si>
  <si>
    <t>под. §§ 95-21и 95-22</t>
  </si>
  <si>
    <t xml:space="preserve">            наличности  в лв. равн.по валутни сметки и каса в чужб. в кр.на периода </t>
  </si>
  <si>
    <t>под. §§ 95-28/95-29 и 95-49</t>
  </si>
  <si>
    <t xml:space="preserve">2. Придобиване на дялове, акции, съучастия и др, финансови активи </t>
  </si>
  <si>
    <t>§ 70</t>
  </si>
  <si>
    <t>3. Възмездни средства</t>
  </si>
  <si>
    <t>§§ 71 - 73 и 79</t>
  </si>
  <si>
    <t xml:space="preserve">            предоставени </t>
  </si>
  <si>
    <t>под. § 71-01 и § 72-01</t>
  </si>
  <si>
    <t xml:space="preserve">            възстановени</t>
  </si>
  <si>
    <t xml:space="preserve">под. § 71-02 и § 72-02 </t>
  </si>
  <si>
    <t xml:space="preserve">            нето плащания по активирани гаранции, поръчителства и преоформен дълг </t>
  </si>
  <si>
    <t xml:space="preserve"> § 73</t>
  </si>
  <si>
    <t xml:space="preserve">            предоставени заеми към крайни бенифициенти</t>
  </si>
  <si>
    <t>под. § 79-01</t>
  </si>
  <si>
    <t xml:space="preserve">            възстановени суми по заеми от крайни бенифициенти</t>
  </si>
  <si>
    <t>под. § 79-02</t>
  </si>
  <si>
    <t>4. Приватизация на дялове, акции и участия</t>
  </si>
  <si>
    <t>§ 90</t>
  </si>
  <si>
    <t xml:space="preserve">5. Покупко-продажба на държавни/общински/ ценни книжа от бюдж. предприятия </t>
  </si>
  <si>
    <t>§ 91</t>
  </si>
  <si>
    <t xml:space="preserve">6. Друго вътрешно финансиране </t>
  </si>
  <si>
    <t>§§ 83; 85 - 88; 92-02; 93</t>
  </si>
  <si>
    <t xml:space="preserve">            операции по вътрешен дълг и финан. активи- нето </t>
  </si>
  <si>
    <t>§§ 83; 85 - 86 и 92-02</t>
  </si>
  <si>
    <t xml:space="preserve">            друго финансиране </t>
  </si>
  <si>
    <t>§§ 87; 88 и 93</t>
  </si>
  <si>
    <t>7.Суми по разчети за поети осигур, вноски и данъци</t>
  </si>
  <si>
    <t>§89</t>
  </si>
  <si>
    <t xml:space="preserve">8. Наличности в началото на периода </t>
  </si>
  <si>
    <t>под. §§ 95-01 до 95-06</t>
  </si>
  <si>
    <t xml:space="preserve">9 Наличности в края на периода </t>
  </si>
  <si>
    <t>под. §§ 95-07 до 95-13</t>
  </si>
  <si>
    <t xml:space="preserve">10. Преоценка на валутни наличности </t>
  </si>
  <si>
    <t>под. § 95-14</t>
  </si>
  <si>
    <t xml:space="preserve">11. Депозити и сметки консолидирани в "Единната сметка" от предх. период </t>
  </si>
  <si>
    <t>под. §§ 96-01 до 96-03</t>
  </si>
  <si>
    <t>12. Депозити и сметки консолидирани в "Единната сметка" в края на периода</t>
  </si>
  <si>
    <t>под. §§ 96-07 до 96-09</t>
  </si>
  <si>
    <t xml:space="preserve">13. Касови операции, депозити, покупко-продажба на валута и сетълмент </t>
  </si>
  <si>
    <t>§ 98</t>
  </si>
  <si>
    <t xml:space="preserve">            в т. ч. покупко-продажба на валута (+/-) </t>
  </si>
  <si>
    <t>под. § 98-30</t>
  </si>
  <si>
    <t>ЧИСЛЕНОСТ НА ПЕРСОНАЛА</t>
  </si>
  <si>
    <t xml:space="preserve">Щатни бройки </t>
  </si>
  <si>
    <t>по трудови правоотношения</t>
  </si>
  <si>
    <t>по служебни правоотношения</t>
  </si>
  <si>
    <t xml:space="preserve">Средногодишни щатни бройки </t>
  </si>
  <si>
    <t>(e-mail)</t>
  </si>
  <si>
    <t xml:space="preserve">(служебни телефони) </t>
  </si>
  <si>
    <t>(дата)</t>
  </si>
  <si>
    <t>ИЗГОТВИЛ:</t>
  </si>
  <si>
    <t>ГЛ. СЧЕТОВОДИТЕЛ:</t>
  </si>
  <si>
    <t>РЪКОВОДИТЕЛ: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</si>
</sst>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d\.m\.yyyy\ &quot;г.&quot;;@"/>
    <numFmt numFmtId="165" formatCode="000&quot; &quot;000&quot; &quot;000"/>
    <numFmt numFmtId="166" formatCode="0.0"/>
    <numFmt numFmtId="167" formatCode="#,##0;[Red]\(#,##0\)"/>
  </numFmts>
  <fonts count="44"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2"/>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6"/>
      <name val="Times New Roman"/>
      <family val="1"/>
      <charset val="204"/>
    </font>
    <font>
      <sz val="10"/>
      <name val="Arial"/>
      <family val="2"/>
      <charset val="204"/>
    </font>
    <font>
      <b/>
      <sz val="12"/>
      <name val="Times New Roman CYR"/>
      <charset val="204"/>
    </font>
    <font>
      <sz val="12"/>
      <name val="Times New Roman"/>
      <family val="1"/>
      <charset val="204"/>
    </font>
    <font>
      <b/>
      <i/>
      <sz val="14"/>
      <color rgb="FF800000"/>
      <name val="Times New Roman bold"/>
      <charset val="204"/>
    </font>
    <font>
      <sz val="12"/>
      <name val="Times New Roman CYR"/>
      <family val="1"/>
      <charset val="204"/>
    </font>
    <font>
      <b/>
      <sz val="12"/>
      <color rgb="FF800000"/>
      <name val="Times New Roman CYR"/>
      <charset val="204"/>
    </font>
    <font>
      <b/>
      <i/>
      <sz val="14"/>
      <color rgb="FF000099"/>
      <name val="Times New Roman Cyr"/>
      <charset val="204"/>
    </font>
    <font>
      <b/>
      <i/>
      <sz val="14"/>
      <color rgb="FF000099"/>
      <name val="Times New Roman"/>
      <family val="1"/>
      <charset val="204"/>
    </font>
    <font>
      <b/>
      <i/>
      <sz val="13"/>
      <color rgb="FF000099"/>
      <name val="Times New Roman Cyr"/>
      <charset val="204"/>
    </font>
    <font>
      <b/>
      <sz val="13"/>
      <name val="Times New Roman"/>
      <family val="1"/>
      <charset val="204"/>
    </font>
    <font>
      <i/>
      <sz val="12"/>
      <name val="Times New Roman"/>
      <family val="1"/>
      <charset val="204"/>
    </font>
    <font>
      <sz val="11"/>
      <name val="Times New Roman"/>
      <family val="1"/>
      <charset val="204"/>
    </font>
    <font>
      <sz val="12"/>
      <color indexed="10"/>
      <name val="Times New Roman"/>
      <family val="1"/>
      <charset val="204"/>
    </font>
    <font>
      <sz val="12"/>
      <color rgb="FF800000"/>
      <name val="Times New Roman CYR"/>
      <charset val="204"/>
    </font>
    <font>
      <sz val="10"/>
      <color indexed="10"/>
      <name val="Times New Roman"/>
      <family val="1"/>
      <charset val="204"/>
    </font>
    <font>
      <sz val="12"/>
      <color rgb="FF660066"/>
      <name val="Times New Roman CYR"/>
      <charset val="204"/>
    </font>
    <font>
      <b/>
      <sz val="10"/>
      <color rgb="FFFFFF00"/>
      <name val="Times New Roman"/>
      <family val="1"/>
      <charset val="204"/>
    </font>
    <font>
      <b/>
      <sz val="10"/>
      <color theme="0"/>
      <name val="Times New Roman"/>
      <family val="1"/>
      <charset val="204"/>
    </font>
    <font>
      <sz val="10"/>
      <color theme="0"/>
      <name val="Times New Roman"/>
      <family val="1"/>
      <charset val="204"/>
    </font>
    <font>
      <b/>
      <sz val="12"/>
      <color theme="0"/>
      <name val="Times New Roman"/>
      <family val="1"/>
      <charset val="204"/>
    </font>
    <font>
      <b/>
      <u/>
      <sz val="12"/>
      <color rgb="FF000099"/>
      <name val="Times New Roman CYR"/>
      <charset val="204"/>
    </font>
    <font>
      <b/>
      <sz val="12"/>
      <color rgb="FF000099"/>
      <name val="Times New Roman CYR"/>
      <charset val="204"/>
    </font>
    <font>
      <b/>
      <i/>
      <sz val="12"/>
      <color indexed="18"/>
      <name val="Times New Roman Bold"/>
    </font>
    <font>
      <b/>
      <i/>
      <sz val="12"/>
      <name val="Times New Roman"/>
      <family val="1"/>
      <charset val="204"/>
    </font>
    <font>
      <i/>
      <sz val="12"/>
      <name val="Times New Roman Cyr"/>
      <family val="1"/>
      <charset val="204"/>
    </font>
    <font>
      <b/>
      <i/>
      <sz val="10"/>
      <name val="Times New Roman"/>
      <family val="1"/>
      <charset val="204"/>
    </font>
    <font>
      <i/>
      <sz val="11"/>
      <name val="Times New Roman"/>
      <family val="1"/>
      <charset val="204"/>
    </font>
    <font>
      <sz val="10"/>
      <color indexed="81"/>
      <name val="Times New Roman"/>
      <family val="1"/>
      <charset val="204"/>
    </font>
    <font>
      <i/>
      <u/>
      <sz val="10"/>
      <color indexed="10"/>
      <name val="Times New Roman"/>
      <family val="1"/>
      <charset val="204"/>
    </font>
    <font>
      <b/>
      <i/>
      <u/>
      <sz val="10"/>
      <color indexed="10"/>
      <name val="Times New Roman"/>
      <family val="1"/>
      <charset val="204"/>
    </font>
    <font>
      <b/>
      <i/>
      <sz val="10"/>
      <color indexed="81"/>
      <name val="Times New Roman"/>
      <family val="1"/>
      <charset val="204"/>
    </font>
    <font>
      <b/>
      <i/>
      <sz val="10"/>
      <color indexed="10"/>
      <name val="Times New Roman"/>
      <family val="1"/>
      <charset val="204"/>
    </font>
    <font>
      <b/>
      <sz val="11"/>
      <color indexed="18"/>
      <name val="Times New Roman"/>
      <family val="1"/>
      <charset val="204"/>
    </font>
    <font>
      <b/>
      <i/>
      <sz val="11"/>
      <color indexed="10"/>
      <name val="Times New Roman"/>
      <family val="1"/>
      <charset val="204"/>
    </font>
    <font>
      <b/>
      <sz val="11"/>
      <color indexed="16"/>
      <name val="Times New Roman"/>
      <family val="1"/>
      <charset val="204"/>
    </font>
    <font>
      <b/>
      <sz val="11"/>
      <color indexed="81"/>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0FDCF"/>
        <bgColor indexed="64"/>
      </patternFill>
    </fill>
    <fill>
      <patternFill patternType="solid">
        <fgColor rgb="FFF1FFE1"/>
        <bgColor indexed="64"/>
      </patternFill>
    </fill>
    <fill>
      <patternFill patternType="solid">
        <fgColor rgb="FFFFFF99"/>
        <bgColor indexed="64"/>
      </patternFill>
    </fill>
    <fill>
      <patternFill patternType="solid">
        <fgColor rgb="FFFFFFCC"/>
        <bgColor indexed="64"/>
      </patternFill>
    </fill>
    <fill>
      <patternFill patternType="solid">
        <fgColor rgb="FFE2F999"/>
        <bgColor indexed="64"/>
      </patternFill>
    </fill>
    <fill>
      <patternFill patternType="solid">
        <fgColor theme="7" tint="0.79998168889431442"/>
        <bgColor indexed="64"/>
      </patternFill>
    </fill>
    <fill>
      <patternFill patternType="solid">
        <fgColor rgb="FFF2F0F6"/>
        <bgColor indexed="64"/>
      </patternFill>
    </fill>
    <fill>
      <patternFill patternType="solid">
        <fgColor rgb="FF000099"/>
        <bgColor indexed="64"/>
      </patternFill>
    </fill>
    <fill>
      <patternFill patternType="solid">
        <fgColor rgb="FFFF0000"/>
        <bgColor indexed="64"/>
      </patternFill>
    </fill>
    <fill>
      <patternFill patternType="solid">
        <fgColor theme="0" tint="-4.9989318521683403E-2"/>
        <bgColor indexed="64"/>
      </patternFill>
    </fill>
  </fills>
  <borders count="117">
    <border>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thin">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thin">
        <color indexed="64"/>
      </top>
      <bottom/>
      <diagonal/>
    </border>
    <border>
      <left style="medium">
        <color indexed="64"/>
      </left>
      <right/>
      <top style="hair">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s>
  <cellStyleXfs count="5">
    <xf numFmtId="0" fontId="0" fillId="0" borderId="0"/>
    <xf numFmtId="43" fontId="1" fillId="0" borderId="0" applyFont="0" applyFill="0" applyBorder="0" applyAlignment="0" applyProtection="0"/>
    <xf numFmtId="0" fontId="8" fillId="0" borderId="0"/>
    <xf numFmtId="0" fontId="8" fillId="0" borderId="0"/>
    <xf numFmtId="0" fontId="8" fillId="0" borderId="0"/>
  </cellStyleXfs>
  <cellXfs count="457">
    <xf numFmtId="0" fontId="0" fillId="0" borderId="0" xfId="0"/>
    <xf numFmtId="0" fontId="2" fillId="2" borderId="0" xfId="0" applyFont="1" applyFill="1" applyProtection="1"/>
    <xf numFmtId="0" fontId="3" fillId="2" borderId="0" xfId="0" quotePrefix="1" applyFont="1" applyFill="1" applyAlignment="1" applyProtection="1">
      <alignment horizontal="left"/>
    </xf>
    <xf numFmtId="0" fontId="4" fillId="2" borderId="0" xfId="0" applyFont="1" applyFill="1" applyProtection="1"/>
    <xf numFmtId="0" fontId="5" fillId="2" borderId="0" xfId="0" applyFont="1" applyFill="1" applyAlignment="1" applyProtection="1">
      <alignment horizontal="left"/>
    </xf>
    <xf numFmtId="0" fontId="4" fillId="0" borderId="0" xfId="0" applyFont="1" applyProtection="1"/>
    <xf numFmtId="0" fontId="2" fillId="0" borderId="0" xfId="0" applyFont="1" applyProtection="1"/>
    <xf numFmtId="0" fontId="2" fillId="3" borderId="0" xfId="0" applyFont="1" applyFill="1" applyBorder="1" applyProtection="1"/>
    <xf numFmtId="0" fontId="4" fillId="3" borderId="0" xfId="0" applyFont="1" applyFill="1" applyBorder="1" applyProtection="1"/>
    <xf numFmtId="0" fontId="3"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quotePrefix="1" applyFont="1" applyFill="1" applyAlignment="1" applyProtection="1">
      <alignment horizontal="left"/>
    </xf>
    <xf numFmtId="0" fontId="7" fillId="2" borderId="0" xfId="0" quotePrefix="1" applyFont="1" applyFill="1" applyBorder="1" applyAlignment="1" applyProtection="1">
      <alignment horizontal="left"/>
    </xf>
    <xf numFmtId="0" fontId="5" fillId="4" borderId="1" xfId="0" quotePrefix="1" applyFont="1" applyFill="1" applyBorder="1" applyAlignment="1" applyProtection="1">
      <alignment horizontal="left"/>
    </xf>
    <xf numFmtId="0" fontId="7" fillId="4" borderId="2" xfId="0" quotePrefix="1" applyFont="1" applyFill="1" applyBorder="1" applyAlignment="1" applyProtection="1">
      <alignment horizontal="left"/>
    </xf>
    <xf numFmtId="0" fontId="4" fillId="4" borderId="2" xfId="0" applyFont="1" applyFill="1" applyBorder="1" applyProtection="1"/>
    <xf numFmtId="0" fontId="4" fillId="4" borderId="3" xfId="0" applyFont="1" applyFill="1" applyBorder="1" applyProtection="1"/>
    <xf numFmtId="0" fontId="4" fillId="0" borderId="4" xfId="0" applyFont="1" applyBorder="1" applyProtection="1"/>
    <xf numFmtId="0" fontId="4" fillId="2" borderId="0" xfId="0" applyFont="1" applyFill="1" applyBorder="1" applyProtection="1"/>
    <xf numFmtId="0" fontId="4" fillId="0" borderId="0" xfId="0" applyFont="1" applyBorder="1" applyProtection="1"/>
    <xf numFmtId="0" fontId="5" fillId="2" borderId="0" xfId="0" applyFont="1" applyFill="1" applyProtection="1"/>
    <xf numFmtId="0" fontId="9" fillId="2" borderId="0" xfId="2" applyFont="1" applyFill="1" applyAlignment="1" applyProtection="1">
      <alignment horizontal="left" vertical="center"/>
    </xf>
    <xf numFmtId="0" fontId="10" fillId="5" borderId="5" xfId="0" applyFont="1" applyFill="1" applyBorder="1" applyAlignment="1" applyProtection="1">
      <alignment horizontal="center" vertical="center"/>
    </xf>
    <xf numFmtId="0" fontId="3" fillId="2" borderId="0" xfId="0" applyFont="1" applyFill="1" applyAlignment="1" applyProtection="1">
      <alignment horizontal="right"/>
    </xf>
    <xf numFmtId="164" fontId="11" fillId="6" borderId="5" xfId="2" applyNumberFormat="1" applyFont="1" applyFill="1" applyBorder="1" applyAlignment="1" applyProtection="1">
      <alignment horizontal="center" vertical="center"/>
    </xf>
    <xf numFmtId="0" fontId="12" fillId="2" borderId="0" xfId="2" applyFont="1" applyFill="1" applyAlignment="1" applyProtection="1">
      <alignment horizontal="right" vertical="center"/>
    </xf>
    <xf numFmtId="165" fontId="9" fillId="5" borderId="5" xfId="2" applyNumberFormat="1" applyFont="1" applyFill="1" applyBorder="1" applyAlignment="1" applyProtection="1">
      <alignment horizontal="center" vertical="center"/>
    </xf>
    <xf numFmtId="49" fontId="4" fillId="0" borderId="0" xfId="0" applyNumberFormat="1" applyFont="1" applyBorder="1" applyAlignment="1" applyProtection="1">
      <alignment horizontal="center"/>
    </xf>
    <xf numFmtId="0" fontId="3" fillId="2" borderId="0" xfId="0" applyFont="1" applyFill="1" applyAlignment="1" applyProtection="1">
      <alignment horizontal="center"/>
    </xf>
    <xf numFmtId="0" fontId="10" fillId="3" borderId="0" xfId="0" applyFont="1" applyFill="1" applyBorder="1" applyProtection="1"/>
    <xf numFmtId="0" fontId="12" fillId="2" borderId="0" xfId="2" quotePrefix="1" applyFont="1" applyFill="1" applyAlignment="1" applyProtection="1">
      <alignment vertical="center"/>
    </xf>
    <xf numFmtId="0" fontId="10" fillId="2" borderId="0" xfId="0" applyFont="1" applyFill="1" applyAlignment="1" applyProtection="1">
      <alignment horizontal="center" vertical="center"/>
    </xf>
    <xf numFmtId="0" fontId="4" fillId="2" borderId="0" xfId="0" applyFont="1" applyFill="1" applyAlignment="1" applyProtection="1">
      <alignment horizontal="right"/>
    </xf>
    <xf numFmtId="0" fontId="12" fillId="2" borderId="0" xfId="2" applyFont="1" applyFill="1" applyAlignment="1" applyProtection="1">
      <alignment horizontal="left" vertical="center"/>
    </xf>
    <xf numFmtId="0" fontId="6" fillId="7" borderId="5" xfId="0" applyFont="1" applyFill="1" applyBorder="1" applyAlignment="1" applyProtection="1">
      <alignment horizontal="center" vertical="center"/>
    </xf>
    <xf numFmtId="0" fontId="3" fillId="2" borderId="0" xfId="0" applyFont="1" applyFill="1" applyAlignment="1" applyProtection="1">
      <alignment horizontal="right" vertical="center"/>
    </xf>
    <xf numFmtId="49" fontId="14" fillId="7" borderId="5" xfId="2" applyNumberFormat="1" applyFont="1" applyFill="1" applyBorder="1" applyAlignment="1" applyProtection="1">
      <alignment horizontal="center" vertical="center"/>
    </xf>
    <xf numFmtId="0" fontId="9" fillId="2" borderId="0" xfId="2" quotePrefix="1" applyFont="1" applyFill="1" applyAlignment="1" applyProtection="1">
      <alignment vertical="center"/>
    </xf>
    <xf numFmtId="0" fontId="15" fillId="2" borderId="0" xfId="0" applyFont="1" applyFill="1" applyBorder="1" applyAlignment="1" applyProtection="1">
      <alignment horizontal="right"/>
    </xf>
    <xf numFmtId="0" fontId="10" fillId="2" borderId="0" xfId="0" applyFont="1" applyFill="1" applyBorder="1" applyProtection="1"/>
    <xf numFmtId="0" fontId="16" fillId="8" borderId="5" xfId="2" applyNumberFormat="1" applyFont="1" applyFill="1" applyBorder="1" applyAlignment="1" applyProtection="1">
      <alignment horizontal="center" vertical="center"/>
    </xf>
    <xf numFmtId="0" fontId="16" fillId="8" borderId="5" xfId="2" applyFont="1" applyFill="1" applyBorder="1" applyAlignment="1" applyProtection="1">
      <alignment horizontal="center" vertical="center"/>
    </xf>
    <xf numFmtId="0" fontId="3" fillId="2" borderId="0" xfId="0" applyFont="1" applyFill="1" applyBorder="1" applyProtection="1"/>
    <xf numFmtId="0" fontId="3" fillId="2" borderId="0" xfId="0" applyFont="1" applyFill="1" applyBorder="1" applyAlignment="1" applyProtection="1">
      <alignment horizontal="right"/>
    </xf>
    <xf numFmtId="0" fontId="3" fillId="0" borderId="0" xfId="0" applyFont="1" applyBorder="1" applyProtection="1"/>
    <xf numFmtId="0" fontId="3" fillId="0" borderId="9" xfId="0" applyFont="1" applyBorder="1" applyProtection="1"/>
    <xf numFmtId="0" fontId="10" fillId="0" borderId="9" xfId="0" applyFont="1" applyBorder="1" applyProtection="1"/>
    <xf numFmtId="0" fontId="2" fillId="2" borderId="0" xfId="0" applyFont="1" applyFill="1" applyBorder="1" applyProtection="1"/>
    <xf numFmtId="0" fontId="10" fillId="2" borderId="9" xfId="0" applyFont="1" applyFill="1" applyBorder="1" applyProtection="1"/>
    <xf numFmtId="0" fontId="3" fillId="2" borderId="9" xfId="0" applyFont="1" applyFill="1" applyBorder="1" applyProtection="1"/>
    <xf numFmtId="0" fontId="3" fillId="2" borderId="9" xfId="0" applyFont="1" applyFill="1" applyBorder="1" applyAlignment="1" applyProtection="1">
      <alignment horizontal="right"/>
    </xf>
    <xf numFmtId="166" fontId="3" fillId="2" borderId="10" xfId="0" applyNumberFormat="1" applyFont="1" applyFill="1" applyBorder="1" applyProtection="1"/>
    <xf numFmtId="166" fontId="3" fillId="2" borderId="11" xfId="0" applyNumberFormat="1" applyFont="1" applyFill="1" applyBorder="1" applyProtection="1"/>
    <xf numFmtId="166" fontId="3" fillId="2" borderId="0" xfId="0" applyNumberFormat="1" applyFont="1" applyFill="1" applyBorder="1" applyProtection="1"/>
    <xf numFmtId="166" fontId="3" fillId="2" borderId="0" xfId="0" applyNumberFormat="1" applyFont="1" applyFill="1" applyBorder="1" applyAlignment="1" applyProtection="1">
      <alignment horizontal="left"/>
    </xf>
    <xf numFmtId="0" fontId="10" fillId="2" borderId="0" xfId="0" applyFont="1" applyFill="1" applyProtection="1"/>
    <xf numFmtId="0" fontId="3" fillId="2" borderId="12" xfId="0" quotePrefix="1" applyFont="1" applyFill="1" applyBorder="1" applyAlignment="1" applyProtection="1">
      <alignment horizontal="center"/>
    </xf>
    <xf numFmtId="0" fontId="3" fillId="2" borderId="13" xfId="0" quotePrefix="1" applyFont="1" applyFill="1" applyBorder="1" applyAlignment="1" applyProtection="1">
      <alignment horizontal="center"/>
    </xf>
    <xf numFmtId="0" fontId="18" fillId="7" borderId="15" xfId="0" applyFont="1" applyFill="1" applyBorder="1" applyAlignment="1" applyProtection="1">
      <alignment horizontal="left" vertical="center"/>
    </xf>
    <xf numFmtId="0" fontId="18" fillId="7" borderId="16" xfId="2" applyFont="1" applyFill="1" applyBorder="1" applyAlignment="1" applyProtection="1">
      <alignment horizontal="left" vertical="center"/>
    </xf>
    <xf numFmtId="0" fontId="18" fillId="7" borderId="16" xfId="0" applyFont="1" applyFill="1" applyBorder="1" applyAlignment="1" applyProtection="1">
      <alignment horizontal="left" vertical="center"/>
    </xf>
    <xf numFmtId="0" fontId="18" fillId="7" borderId="17" xfId="2" applyFont="1" applyFill="1" applyBorder="1" applyAlignment="1" applyProtection="1">
      <alignment horizontal="left" vertical="center"/>
    </xf>
    <xf numFmtId="166" fontId="3" fillId="0" borderId="18" xfId="0" applyNumberFormat="1" applyFont="1" applyFill="1" applyBorder="1" applyAlignment="1" applyProtection="1">
      <alignment horizontal="center" vertical="center" wrapText="1"/>
    </xf>
    <xf numFmtId="166" fontId="3" fillId="2" borderId="13" xfId="0" applyNumberFormat="1" applyFont="1" applyFill="1" applyBorder="1" applyAlignment="1" applyProtection="1">
      <alignment horizontal="center" vertical="center" wrapText="1"/>
    </xf>
    <xf numFmtId="0" fontId="6" fillId="7" borderId="19" xfId="2" applyFont="1" applyFill="1" applyBorder="1" applyAlignment="1" applyProtection="1">
      <alignment horizontal="center" vertical="center"/>
    </xf>
    <xf numFmtId="0" fontId="10" fillId="0" borderId="0" xfId="0" applyFont="1" applyProtection="1"/>
    <xf numFmtId="0" fontId="5" fillId="2" borderId="18" xfId="0" quotePrefix="1" applyFont="1" applyFill="1" applyBorder="1" applyAlignment="1" applyProtection="1">
      <alignment horizontal="center" vertical="top"/>
    </xf>
    <xf numFmtId="0" fontId="3" fillId="2" borderId="18" xfId="0" quotePrefix="1" applyFont="1" applyFill="1" applyBorder="1" applyAlignment="1" applyProtection="1">
      <alignment horizontal="center"/>
    </xf>
    <xf numFmtId="0" fontId="18" fillId="8" borderId="7" xfId="0" applyFont="1" applyFill="1" applyBorder="1" applyAlignment="1" applyProtection="1">
      <alignment horizontal="center" vertical="center" wrapText="1"/>
    </xf>
    <xf numFmtId="0" fontId="18" fillId="8" borderId="5" xfId="0" applyFont="1" applyFill="1" applyBorder="1" applyAlignment="1" applyProtection="1">
      <alignment horizontal="center" vertical="center" wrapText="1"/>
    </xf>
    <xf numFmtId="0" fontId="18" fillId="8" borderId="20" xfId="0" applyFont="1" applyFill="1" applyBorder="1" applyAlignment="1" applyProtection="1">
      <alignment horizontal="center" vertical="center" wrapText="1"/>
    </xf>
    <xf numFmtId="0" fontId="3" fillId="0" borderId="12" xfId="0" applyFont="1" applyBorder="1" applyAlignment="1" applyProtection="1">
      <alignment horizontal="center"/>
    </xf>
    <xf numFmtId="0" fontId="3" fillId="2" borderId="13" xfId="0" applyFont="1" applyFill="1" applyBorder="1" applyAlignment="1" applyProtection="1">
      <alignment horizontal="center"/>
    </xf>
    <xf numFmtId="0" fontId="6" fillId="7" borderId="21" xfId="2" applyFont="1" applyFill="1" applyBorder="1" applyAlignment="1" applyProtection="1">
      <alignment horizontal="center" vertical="center"/>
    </xf>
    <xf numFmtId="0" fontId="10" fillId="2" borderId="12" xfId="0" applyFont="1" applyFill="1" applyBorder="1" applyAlignment="1" applyProtection="1">
      <alignment horizontal="center"/>
    </xf>
    <xf numFmtId="0" fontId="3" fillId="2" borderId="12" xfId="0" applyFont="1" applyFill="1" applyBorder="1" applyAlignment="1" applyProtection="1">
      <alignment horizontal="center"/>
    </xf>
    <xf numFmtId="0" fontId="3" fillId="2" borderId="22" xfId="0" applyFont="1" applyFill="1" applyBorder="1" applyAlignment="1" applyProtection="1">
      <alignment horizontal="center"/>
    </xf>
    <xf numFmtId="0" fontId="3" fillId="2" borderId="23" xfId="0" applyFont="1" applyFill="1" applyBorder="1" applyAlignment="1" applyProtection="1">
      <alignment horizontal="center"/>
    </xf>
    <xf numFmtId="0" fontId="3" fillId="2" borderId="24" xfId="0" applyFont="1" applyFill="1" applyBorder="1" applyAlignment="1" applyProtection="1">
      <alignment horizontal="center"/>
    </xf>
    <xf numFmtId="0" fontId="3" fillId="0" borderId="18" xfId="0" applyFont="1" applyBorder="1" applyAlignment="1" applyProtection="1">
      <alignment horizontal="center"/>
    </xf>
    <xf numFmtId="0" fontId="6" fillId="2" borderId="25" xfId="0" applyFont="1" applyFill="1" applyBorder="1" applyAlignment="1" applyProtection="1">
      <alignment horizontal="left"/>
    </xf>
    <xf numFmtId="0" fontId="10" fillId="2" borderId="26" xfId="0" applyFont="1" applyFill="1" applyBorder="1" applyAlignment="1" applyProtection="1">
      <alignment horizontal="center"/>
    </xf>
    <xf numFmtId="0" fontId="10" fillId="2" borderId="26" xfId="0" applyFont="1" applyFill="1" applyBorder="1" applyProtection="1"/>
    <xf numFmtId="0" fontId="3" fillId="2" borderId="26" xfId="0" quotePrefix="1" applyFont="1" applyFill="1" applyBorder="1" applyAlignment="1" applyProtection="1">
      <alignment horizontal="center"/>
    </xf>
    <xf numFmtId="0" fontId="18" fillId="2" borderId="27" xfId="0" quotePrefix="1" applyFont="1" applyFill="1" applyBorder="1" applyAlignment="1" applyProtection="1">
      <alignment horizontal="center"/>
    </xf>
    <xf numFmtId="0" fontId="18" fillId="2" borderId="5" xfId="0" quotePrefix="1" applyFont="1" applyFill="1" applyBorder="1" applyAlignment="1" applyProtection="1">
      <alignment horizontal="center"/>
    </xf>
    <xf numFmtId="0" fontId="18" fillId="2" borderId="20" xfId="0" quotePrefix="1" applyFont="1" applyFill="1" applyBorder="1" applyAlignment="1" applyProtection="1">
      <alignment horizontal="center"/>
    </xf>
    <xf numFmtId="0" fontId="4" fillId="0" borderId="28" xfId="0" quotePrefix="1" applyFont="1" applyBorder="1" applyAlignment="1" applyProtection="1">
      <alignment horizontal="center"/>
    </xf>
    <xf numFmtId="0" fontId="2" fillId="2" borderId="13" xfId="0" applyFont="1" applyFill="1" applyBorder="1" applyProtection="1"/>
    <xf numFmtId="0" fontId="6" fillId="2" borderId="5" xfId="0" quotePrefix="1" applyFont="1" applyFill="1" applyBorder="1" applyAlignment="1" applyProtection="1">
      <alignment horizontal="left"/>
    </xf>
    <xf numFmtId="0" fontId="10" fillId="2" borderId="12" xfId="0" applyFont="1" applyFill="1" applyBorder="1" applyProtection="1"/>
    <xf numFmtId="0" fontId="3" fillId="2" borderId="12" xfId="0" applyFont="1" applyFill="1" applyBorder="1" applyAlignment="1" applyProtection="1"/>
    <xf numFmtId="0" fontId="3" fillId="2" borderId="29" xfId="0" applyFont="1" applyFill="1" applyBorder="1" applyAlignment="1" applyProtection="1"/>
    <xf numFmtId="0" fontId="3" fillId="2" borderId="21" xfId="0" applyFont="1" applyFill="1" applyBorder="1" applyAlignment="1" applyProtection="1"/>
    <xf numFmtId="0" fontId="3" fillId="2" borderId="30" xfId="0" applyFont="1" applyFill="1" applyBorder="1" applyAlignment="1" applyProtection="1"/>
    <xf numFmtId="0" fontId="3" fillId="0" borderId="31" xfId="0" applyFont="1" applyBorder="1" applyAlignment="1" applyProtection="1"/>
    <xf numFmtId="0" fontId="3" fillId="2" borderId="13" xfId="0" applyFont="1" applyFill="1" applyBorder="1" applyAlignment="1" applyProtection="1"/>
    <xf numFmtId="0" fontId="6" fillId="2" borderId="21" xfId="0" applyFont="1" applyFill="1" applyBorder="1" applyAlignment="1" applyProtection="1">
      <alignment horizontal="left"/>
    </xf>
    <xf numFmtId="0" fontId="10" fillId="0" borderId="0" xfId="0" applyFont="1" applyBorder="1" applyProtection="1"/>
    <xf numFmtId="0" fontId="5" fillId="7" borderId="32" xfId="0" applyFont="1" applyFill="1" applyBorder="1" applyAlignment="1" applyProtection="1">
      <alignment horizontal="left"/>
    </xf>
    <xf numFmtId="0" fontId="10" fillId="7" borderId="32" xfId="0" applyFont="1" applyFill="1" applyBorder="1" applyAlignment="1" applyProtection="1">
      <alignment horizontal="left"/>
    </xf>
    <xf numFmtId="0" fontId="3" fillId="7" borderId="32" xfId="0" quotePrefix="1" applyFont="1" applyFill="1" applyBorder="1" applyAlignment="1" applyProtection="1">
      <alignment horizontal="left"/>
    </xf>
    <xf numFmtId="3" fontId="3" fillId="7" borderId="32" xfId="0" applyNumberFormat="1" applyFont="1" applyFill="1" applyBorder="1" applyAlignment="1" applyProtection="1"/>
    <xf numFmtId="3" fontId="10" fillId="7" borderId="33" xfId="0" applyNumberFormat="1" applyFont="1" applyFill="1" applyBorder="1" applyAlignment="1" applyProtection="1"/>
    <xf numFmtId="3" fontId="10" fillId="7" borderId="34" xfId="0" applyNumberFormat="1" applyFont="1" applyFill="1" applyBorder="1" applyAlignment="1" applyProtection="1"/>
    <xf numFmtId="3" fontId="10" fillId="7" borderId="35" xfId="0" applyNumberFormat="1" applyFont="1" applyFill="1" applyBorder="1" applyAlignment="1" applyProtection="1"/>
    <xf numFmtId="1" fontId="3" fillId="0" borderId="28" xfId="0" applyNumberFormat="1" applyFont="1" applyBorder="1" applyAlignment="1" applyProtection="1"/>
    <xf numFmtId="4" fontId="3" fillId="2" borderId="13" xfId="0" applyNumberFormat="1" applyFont="1" applyFill="1" applyBorder="1" applyAlignment="1" applyProtection="1"/>
    <xf numFmtId="3" fontId="6" fillId="7" borderId="34" xfId="0" applyNumberFormat="1" applyFont="1" applyFill="1" applyBorder="1" applyAlignment="1" applyProtection="1">
      <alignment horizontal="center"/>
    </xf>
    <xf numFmtId="166" fontId="10" fillId="0" borderId="36" xfId="0" applyNumberFormat="1" applyFont="1" applyBorder="1" applyProtection="1"/>
    <xf numFmtId="0" fontId="10" fillId="2" borderId="37" xfId="0" applyFont="1" applyFill="1" applyBorder="1" applyAlignment="1" applyProtection="1">
      <alignment horizontal="left"/>
    </xf>
    <xf numFmtId="3" fontId="10" fillId="2" borderId="37" xfId="0" applyNumberFormat="1" applyFont="1" applyFill="1" applyBorder="1" applyAlignment="1" applyProtection="1"/>
    <xf numFmtId="3" fontId="10" fillId="2" borderId="38" xfId="0" applyNumberFormat="1" applyFont="1" applyFill="1" applyBorder="1" applyAlignment="1" applyProtection="1"/>
    <xf numFmtId="3" fontId="10" fillId="2" borderId="39" xfId="0" applyNumberFormat="1" applyFont="1" applyFill="1" applyBorder="1" applyAlignment="1" applyProtection="1"/>
    <xf numFmtId="3" fontId="10" fillId="2" borderId="40" xfId="0" applyNumberFormat="1" applyFont="1" applyFill="1" applyBorder="1" applyAlignment="1" applyProtection="1"/>
    <xf numFmtId="1" fontId="3" fillId="0" borderId="14" xfId="0" applyNumberFormat="1" applyFont="1" applyBorder="1" applyAlignment="1" applyProtection="1"/>
    <xf numFmtId="1" fontId="3" fillId="2" borderId="13" xfId="0" applyNumberFormat="1" applyFont="1" applyFill="1" applyBorder="1" applyAlignment="1" applyProtection="1">
      <alignment horizontal="right"/>
    </xf>
    <xf numFmtId="3" fontId="19" fillId="2" borderId="39" xfId="0" applyNumberFormat="1" applyFont="1" applyFill="1" applyBorder="1" applyAlignment="1" applyProtection="1">
      <alignment horizontal="center"/>
    </xf>
    <xf numFmtId="166" fontId="10" fillId="0" borderId="0" xfId="0" applyNumberFormat="1" applyFont="1" applyBorder="1" applyProtection="1"/>
    <xf numFmtId="0" fontId="10" fillId="2" borderId="41" xfId="0" applyFont="1" applyFill="1" applyBorder="1" applyAlignment="1" applyProtection="1">
      <alignment horizontal="left"/>
    </xf>
    <xf numFmtId="3" fontId="10" fillId="2" borderId="41" xfId="0" applyNumberFormat="1" applyFont="1" applyFill="1" applyBorder="1" applyAlignment="1" applyProtection="1"/>
    <xf numFmtId="3" fontId="10" fillId="2" borderId="42" xfId="0" applyNumberFormat="1" applyFont="1" applyFill="1" applyBorder="1" applyAlignment="1" applyProtection="1"/>
    <xf numFmtId="3" fontId="10" fillId="2" borderId="43" xfId="0" applyNumberFormat="1" applyFont="1" applyFill="1" applyBorder="1" applyAlignment="1" applyProtection="1"/>
    <xf numFmtId="3" fontId="10" fillId="2" borderId="44" xfId="0" applyNumberFormat="1" applyFont="1" applyFill="1" applyBorder="1" applyAlignment="1" applyProtection="1"/>
    <xf numFmtId="1" fontId="3" fillId="0" borderId="45" xfId="0" applyNumberFormat="1" applyFont="1" applyBorder="1" applyAlignment="1" applyProtection="1"/>
    <xf numFmtId="3" fontId="19" fillId="2" borderId="43" xfId="0" applyNumberFormat="1" applyFont="1" applyFill="1" applyBorder="1" applyAlignment="1" applyProtection="1">
      <alignment horizontal="center"/>
    </xf>
    <xf numFmtId="0" fontId="10" fillId="2" borderId="26" xfId="0" applyFont="1" applyFill="1" applyBorder="1" applyAlignment="1" applyProtection="1">
      <alignment horizontal="left"/>
    </xf>
    <xf numFmtId="3" fontId="10" fillId="2" borderId="26" xfId="0" applyNumberFormat="1" applyFont="1" applyFill="1" applyBorder="1" applyAlignment="1" applyProtection="1"/>
    <xf numFmtId="3" fontId="10" fillId="2" borderId="27" xfId="0" applyNumberFormat="1" applyFont="1" applyFill="1" applyBorder="1" applyAlignment="1" applyProtection="1"/>
    <xf numFmtId="3" fontId="10" fillId="2" borderId="5" xfId="0" applyNumberFormat="1" applyFont="1" applyFill="1" applyBorder="1" applyAlignment="1" applyProtection="1"/>
    <xf numFmtId="3" fontId="10" fillId="2" borderId="20" xfId="0" applyNumberFormat="1" applyFont="1" applyFill="1" applyBorder="1" applyAlignment="1" applyProtection="1"/>
    <xf numFmtId="3" fontId="19" fillId="2" borderId="5" xfId="0" applyNumberFormat="1" applyFont="1" applyFill="1" applyBorder="1" applyAlignment="1" applyProtection="1">
      <alignment horizontal="center"/>
    </xf>
    <xf numFmtId="0" fontId="10" fillId="2" borderId="18" xfId="0" applyFont="1" applyFill="1" applyBorder="1" applyAlignment="1" applyProtection="1">
      <alignment horizontal="left"/>
    </xf>
    <xf numFmtId="3" fontId="10" fillId="2" borderId="18" xfId="0" applyNumberFormat="1" applyFont="1" applyFill="1" applyBorder="1" applyAlignment="1" applyProtection="1"/>
    <xf numFmtId="3" fontId="10" fillId="2" borderId="46" xfId="0" applyNumberFormat="1" applyFont="1" applyFill="1" applyBorder="1" applyAlignment="1" applyProtection="1"/>
    <xf numFmtId="3" fontId="10" fillId="2" borderId="25" xfId="0" applyNumberFormat="1" applyFont="1" applyFill="1" applyBorder="1" applyAlignment="1" applyProtection="1"/>
    <xf numFmtId="3" fontId="10" fillId="2" borderId="47" xfId="0" applyNumberFormat="1" applyFont="1" applyFill="1" applyBorder="1" applyAlignment="1" applyProtection="1"/>
    <xf numFmtId="3" fontId="19" fillId="2" borderId="25" xfId="0" applyNumberFormat="1" applyFont="1" applyFill="1" applyBorder="1" applyAlignment="1" applyProtection="1">
      <alignment horizontal="center"/>
    </xf>
    <xf numFmtId="0" fontId="10" fillId="8" borderId="48" xfId="0" applyFont="1" applyFill="1" applyBorder="1" applyAlignment="1" applyProtection="1">
      <alignment horizontal="left"/>
    </xf>
    <xf numFmtId="1" fontId="3" fillId="8" borderId="48" xfId="0" applyNumberFormat="1" applyFont="1" applyFill="1" applyBorder="1" applyAlignment="1" applyProtection="1"/>
    <xf numFmtId="3" fontId="19" fillId="8" borderId="48" xfId="0" applyNumberFormat="1" applyFont="1" applyFill="1" applyBorder="1" applyAlignment="1" applyProtection="1"/>
    <xf numFmtId="3" fontId="19" fillId="8" borderId="49" xfId="0" applyNumberFormat="1" applyFont="1" applyFill="1" applyBorder="1" applyAlignment="1" applyProtection="1"/>
    <xf numFmtId="3" fontId="19" fillId="8" borderId="50" xfId="0" applyNumberFormat="1" applyFont="1" applyFill="1" applyBorder="1" applyAlignment="1" applyProtection="1"/>
    <xf numFmtId="3" fontId="19" fillId="8" borderId="51" xfId="0" applyNumberFormat="1" applyFont="1" applyFill="1" applyBorder="1" applyAlignment="1" applyProtection="1"/>
    <xf numFmtId="1" fontId="3" fillId="0" borderId="18" xfId="0" applyNumberFormat="1" applyFont="1" applyBorder="1" applyAlignment="1" applyProtection="1"/>
    <xf numFmtId="3" fontId="19" fillId="8" borderId="50" xfId="0" applyNumberFormat="1" applyFont="1" applyFill="1" applyBorder="1" applyAlignment="1" applyProtection="1">
      <alignment horizontal="center"/>
    </xf>
    <xf numFmtId="0" fontId="10" fillId="8" borderId="52" xfId="0" applyFont="1" applyFill="1" applyBorder="1" applyAlignment="1" applyProtection="1">
      <alignment horizontal="left"/>
    </xf>
    <xf numFmtId="1" fontId="3" fillId="8" borderId="52" xfId="0" applyNumberFormat="1" applyFont="1" applyFill="1" applyBorder="1" applyAlignment="1" applyProtection="1"/>
    <xf numFmtId="3" fontId="19" fillId="8" borderId="52" xfId="0" applyNumberFormat="1" applyFont="1" applyFill="1" applyBorder="1" applyAlignment="1" applyProtection="1"/>
    <xf numFmtId="3" fontId="19" fillId="8" borderId="53" xfId="0" applyNumberFormat="1" applyFont="1" applyFill="1" applyBorder="1" applyAlignment="1" applyProtection="1"/>
    <xf numFmtId="3" fontId="19" fillId="8" borderId="54" xfId="0" applyNumberFormat="1" applyFont="1" applyFill="1" applyBorder="1" applyAlignment="1" applyProtection="1"/>
    <xf numFmtId="3" fontId="19" fillId="8" borderId="55" xfId="0" applyNumberFormat="1" applyFont="1" applyFill="1" applyBorder="1" applyAlignment="1" applyProtection="1"/>
    <xf numFmtId="1" fontId="3" fillId="0" borderId="26" xfId="0" applyNumberFormat="1" applyFont="1" applyBorder="1" applyAlignment="1" applyProtection="1"/>
    <xf numFmtId="3" fontId="19" fillId="8" borderId="54" xfId="0" applyNumberFormat="1" applyFont="1" applyFill="1" applyBorder="1" applyAlignment="1" applyProtection="1">
      <alignment horizontal="center"/>
    </xf>
    <xf numFmtId="0" fontId="10" fillId="8" borderId="56" xfId="0" applyFont="1" applyFill="1" applyBorder="1" applyAlignment="1" applyProtection="1">
      <alignment horizontal="left"/>
    </xf>
    <xf numFmtId="1" fontId="3" fillId="8" borderId="57" xfId="0" applyNumberFormat="1" applyFont="1" applyFill="1" applyBorder="1" applyAlignment="1" applyProtection="1"/>
    <xf numFmtId="3" fontId="19" fillId="8" borderId="57" xfId="0" applyNumberFormat="1" applyFont="1" applyFill="1" applyBorder="1" applyAlignment="1" applyProtection="1"/>
    <xf numFmtId="3" fontId="19" fillId="8" borderId="58" xfId="0" applyNumberFormat="1" applyFont="1" applyFill="1" applyBorder="1" applyAlignment="1" applyProtection="1"/>
    <xf numFmtId="3" fontId="19" fillId="8" borderId="59" xfId="0" applyNumberFormat="1" applyFont="1" applyFill="1" applyBorder="1" applyAlignment="1" applyProtection="1"/>
    <xf numFmtId="3" fontId="19" fillId="8" borderId="60" xfId="0" applyNumberFormat="1" applyFont="1" applyFill="1" applyBorder="1" applyAlignment="1" applyProtection="1"/>
    <xf numFmtId="3" fontId="19" fillId="8" borderId="59" xfId="0" applyNumberFormat="1" applyFont="1" applyFill="1" applyBorder="1" applyAlignment="1" applyProtection="1">
      <alignment horizontal="center"/>
    </xf>
    <xf numFmtId="0" fontId="10" fillId="2" borderId="61" xfId="0" applyFont="1" applyFill="1" applyBorder="1" applyAlignment="1" applyProtection="1">
      <alignment horizontal="left"/>
    </xf>
    <xf numFmtId="3" fontId="10" fillId="2" borderId="48" xfId="0" applyNumberFormat="1" applyFont="1" applyFill="1" applyBorder="1" applyAlignment="1" applyProtection="1"/>
    <xf numFmtId="3" fontId="10" fillId="2" borderId="49" xfId="0" applyNumberFormat="1" applyFont="1" applyFill="1" applyBorder="1" applyAlignment="1" applyProtection="1"/>
    <xf numFmtId="3" fontId="10" fillId="2" borderId="50" xfId="0" applyNumberFormat="1" applyFont="1" applyFill="1" applyBorder="1" applyAlignment="1" applyProtection="1"/>
    <xf numFmtId="3" fontId="10" fillId="2" borderId="51" xfId="0" applyNumberFormat="1" applyFont="1" applyFill="1" applyBorder="1" applyAlignment="1" applyProtection="1"/>
    <xf numFmtId="3" fontId="19" fillId="2" borderId="50" xfId="0" applyNumberFormat="1" applyFont="1" applyFill="1" applyBorder="1" applyAlignment="1" applyProtection="1">
      <alignment horizontal="center"/>
    </xf>
    <xf numFmtId="0" fontId="10" fillId="2" borderId="62" xfId="0" applyFont="1" applyFill="1" applyBorder="1" applyAlignment="1" applyProtection="1">
      <alignment horizontal="left"/>
    </xf>
    <xf numFmtId="3" fontId="10" fillId="2" borderId="52" xfId="0" applyNumberFormat="1" applyFont="1" applyFill="1" applyBorder="1" applyAlignment="1" applyProtection="1"/>
    <xf numFmtId="3" fontId="10" fillId="2" borderId="53" xfId="0" applyNumberFormat="1" applyFont="1" applyFill="1" applyBorder="1" applyAlignment="1" applyProtection="1"/>
    <xf numFmtId="3" fontId="10" fillId="2" borderId="54" xfId="0" applyNumberFormat="1" applyFont="1" applyFill="1" applyBorder="1" applyAlignment="1" applyProtection="1"/>
    <xf numFmtId="3" fontId="10" fillId="2" borderId="55" xfId="0" applyNumberFormat="1" applyFont="1" applyFill="1" applyBorder="1" applyAlignment="1" applyProtection="1"/>
    <xf numFmtId="3" fontId="19" fillId="2" borderId="54" xfId="0" applyNumberFormat="1" applyFont="1" applyFill="1" applyBorder="1" applyAlignment="1" applyProtection="1">
      <alignment horizontal="center"/>
    </xf>
    <xf numFmtId="1" fontId="3" fillId="0" borderId="63" xfId="0" applyNumberFormat="1" applyFont="1" applyBorder="1" applyAlignment="1" applyProtection="1"/>
    <xf numFmtId="0" fontId="10" fillId="2" borderId="64" xfId="0" applyFont="1" applyFill="1" applyBorder="1" applyAlignment="1" applyProtection="1">
      <alignment horizontal="left"/>
    </xf>
    <xf numFmtId="0" fontId="20" fillId="2" borderId="64" xfId="0" applyFont="1" applyFill="1" applyBorder="1" applyAlignment="1" applyProtection="1">
      <alignment horizontal="left"/>
    </xf>
    <xf numFmtId="0" fontId="10" fillId="2" borderId="12" xfId="0" applyFont="1" applyFill="1" applyBorder="1" applyAlignment="1" applyProtection="1">
      <alignment horizontal="left"/>
    </xf>
    <xf numFmtId="0" fontId="10" fillId="2" borderId="65" xfId="0" applyFont="1" applyFill="1" applyBorder="1" applyAlignment="1" applyProtection="1">
      <alignment horizontal="left"/>
    </xf>
    <xf numFmtId="3" fontId="10" fillId="2" borderId="63" xfId="0" applyNumberFormat="1" applyFont="1" applyFill="1" applyBorder="1" applyAlignment="1" applyProtection="1"/>
    <xf numFmtId="3" fontId="10" fillId="2" borderId="22" xfId="0" applyNumberFormat="1" applyFont="1" applyFill="1" applyBorder="1" applyAlignment="1" applyProtection="1"/>
    <xf numFmtId="3" fontId="10" fillId="2" borderId="23" xfId="0" applyNumberFormat="1" applyFont="1" applyFill="1" applyBorder="1" applyAlignment="1" applyProtection="1"/>
    <xf numFmtId="3" fontId="10" fillId="2" borderId="24" xfId="0" applyNumberFormat="1" applyFont="1" applyFill="1" applyBorder="1" applyAlignment="1" applyProtection="1"/>
    <xf numFmtId="3" fontId="19" fillId="2" borderId="23" xfId="0" applyNumberFormat="1" applyFont="1" applyFill="1" applyBorder="1" applyAlignment="1" applyProtection="1">
      <alignment horizontal="center"/>
    </xf>
    <xf numFmtId="0" fontId="10" fillId="2" borderId="14" xfId="0" applyFont="1" applyFill="1" applyBorder="1" applyAlignment="1" applyProtection="1">
      <alignment horizontal="left"/>
    </xf>
    <xf numFmtId="3" fontId="10" fillId="2" borderId="14" xfId="0" applyNumberFormat="1" applyFont="1" applyFill="1" applyBorder="1" applyAlignment="1" applyProtection="1"/>
    <xf numFmtId="3" fontId="10" fillId="2" borderId="66" xfId="0" applyNumberFormat="1" applyFont="1" applyFill="1" applyBorder="1" applyAlignment="1" applyProtection="1"/>
    <xf numFmtId="3" fontId="10" fillId="2" borderId="19" xfId="0" applyNumberFormat="1" applyFont="1" applyFill="1" applyBorder="1" applyAlignment="1" applyProtection="1"/>
    <xf numFmtId="3" fontId="10" fillId="2" borderId="67" xfId="0" applyNumberFormat="1" applyFont="1" applyFill="1" applyBorder="1" applyAlignment="1" applyProtection="1"/>
    <xf numFmtId="1" fontId="3" fillId="0" borderId="68" xfId="0" applyNumberFormat="1" applyFont="1" applyBorder="1" applyAlignment="1" applyProtection="1"/>
    <xf numFmtId="3" fontId="19" fillId="2" borderId="19" xfId="0" applyNumberFormat="1" applyFont="1" applyFill="1" applyBorder="1" applyAlignment="1" applyProtection="1">
      <alignment horizontal="center"/>
    </xf>
    <xf numFmtId="0" fontId="10" fillId="2" borderId="48" xfId="0" applyFont="1" applyFill="1" applyBorder="1" applyAlignment="1" applyProtection="1">
      <alignment horizontal="left"/>
    </xf>
    <xf numFmtId="3" fontId="10" fillId="2" borderId="48" xfId="0" quotePrefix="1" applyNumberFormat="1" applyFont="1" applyFill="1" applyBorder="1" applyAlignment="1" applyProtection="1"/>
    <xf numFmtId="3" fontId="10" fillId="2" borderId="49" xfId="0" quotePrefix="1" applyNumberFormat="1" applyFont="1" applyFill="1" applyBorder="1" applyAlignment="1" applyProtection="1"/>
    <xf numFmtId="3" fontId="10" fillId="2" borderId="50" xfId="0" quotePrefix="1" applyNumberFormat="1" applyFont="1" applyFill="1" applyBorder="1" applyAlignment="1" applyProtection="1"/>
    <xf numFmtId="3" fontId="10" fillId="2" borderId="51" xfId="0" quotePrefix="1" applyNumberFormat="1" applyFont="1" applyFill="1" applyBorder="1" applyAlignment="1" applyProtection="1"/>
    <xf numFmtId="1" fontId="10" fillId="0" borderId="68" xfId="0" quotePrefix="1" applyNumberFormat="1" applyFont="1" applyBorder="1" applyAlignment="1" applyProtection="1"/>
    <xf numFmtId="1" fontId="10" fillId="2" borderId="13" xfId="0" quotePrefix="1" applyNumberFormat="1" applyFont="1" applyFill="1" applyBorder="1" applyAlignment="1" applyProtection="1">
      <alignment horizontal="right"/>
    </xf>
    <xf numFmtId="3" fontId="19" fillId="2" borderId="50" xfId="0" quotePrefix="1" applyNumberFormat="1" applyFont="1" applyFill="1" applyBorder="1" applyAlignment="1" applyProtection="1">
      <alignment horizontal="center"/>
    </xf>
    <xf numFmtId="0" fontId="10" fillId="2" borderId="57" xfId="0" applyFont="1" applyFill="1" applyBorder="1" applyAlignment="1" applyProtection="1">
      <alignment horizontal="left"/>
    </xf>
    <xf numFmtId="3" fontId="10" fillId="2" borderId="57" xfId="0" quotePrefix="1" applyNumberFormat="1" applyFont="1" applyFill="1" applyBorder="1" applyAlignment="1" applyProtection="1"/>
    <xf numFmtId="3" fontId="10" fillId="2" borderId="58" xfId="0" quotePrefix="1" applyNumberFormat="1" applyFont="1" applyFill="1" applyBorder="1" applyAlignment="1" applyProtection="1"/>
    <xf numFmtId="3" fontId="10" fillId="2" borderId="59" xfId="0" quotePrefix="1" applyNumberFormat="1" applyFont="1" applyFill="1" applyBorder="1" applyAlignment="1" applyProtection="1"/>
    <xf numFmtId="3" fontId="10" fillId="2" borderId="60" xfId="0" quotePrefix="1" applyNumberFormat="1" applyFont="1" applyFill="1" applyBorder="1" applyAlignment="1" applyProtection="1"/>
    <xf numFmtId="1" fontId="10" fillId="0" borderId="12" xfId="0" quotePrefix="1" applyNumberFormat="1" applyFont="1" applyBorder="1" applyAlignment="1" applyProtection="1"/>
    <xf numFmtId="3" fontId="19" fillId="2" borderId="59" xfId="0" quotePrefix="1" applyNumberFormat="1" applyFont="1" applyFill="1" applyBorder="1" applyAlignment="1" applyProtection="1">
      <alignment horizontal="center"/>
    </xf>
    <xf numFmtId="166" fontId="10" fillId="2" borderId="0" xfId="0" applyNumberFormat="1" applyFont="1" applyFill="1" applyBorder="1" applyProtection="1"/>
    <xf numFmtId="0" fontId="5" fillId="9" borderId="32" xfId="0" quotePrefix="1" applyFont="1" applyFill="1" applyBorder="1" applyAlignment="1" applyProtection="1">
      <alignment horizontal="left"/>
    </xf>
    <xf numFmtId="0" fontId="3" fillId="9" borderId="32" xfId="0" applyFont="1" applyFill="1" applyBorder="1" applyAlignment="1" applyProtection="1">
      <alignment horizontal="left"/>
    </xf>
    <xf numFmtId="0" fontId="3" fillId="9" borderId="32" xfId="0" quotePrefix="1" applyFont="1" applyFill="1" applyBorder="1" applyAlignment="1" applyProtection="1">
      <alignment horizontal="left"/>
    </xf>
    <xf numFmtId="3" fontId="3" fillId="9" borderId="32" xfId="0" applyNumberFormat="1" applyFont="1" applyFill="1" applyBorder="1" applyAlignment="1" applyProtection="1"/>
    <xf numFmtId="3" fontId="3" fillId="9" borderId="33" xfId="0" applyNumberFormat="1" applyFont="1" applyFill="1" applyBorder="1" applyAlignment="1" applyProtection="1"/>
    <xf numFmtId="3" fontId="3" fillId="9" borderId="34" xfId="0" applyNumberFormat="1" applyFont="1" applyFill="1" applyBorder="1" applyAlignment="1" applyProtection="1"/>
    <xf numFmtId="3" fontId="3" fillId="9" borderId="35" xfId="0" applyNumberFormat="1" applyFont="1" applyFill="1" applyBorder="1" applyAlignment="1" applyProtection="1"/>
    <xf numFmtId="1" fontId="3" fillId="0" borderId="69" xfId="0" applyNumberFormat="1" applyFont="1" applyBorder="1" applyAlignment="1" applyProtection="1"/>
    <xf numFmtId="3" fontId="6" fillId="9" borderId="34" xfId="0" applyNumberFormat="1" applyFont="1" applyFill="1" applyBorder="1" applyAlignment="1" applyProtection="1">
      <alignment horizontal="center"/>
    </xf>
    <xf numFmtId="166" fontId="10" fillId="0" borderId="0" xfId="0" applyNumberFormat="1" applyFont="1" applyProtection="1"/>
    <xf numFmtId="166" fontId="10" fillId="2" borderId="0" xfId="0" applyNumberFormat="1" applyFont="1" applyFill="1" applyProtection="1"/>
    <xf numFmtId="166" fontId="10" fillId="3" borderId="0" xfId="0" applyNumberFormat="1" applyFont="1" applyFill="1" applyBorder="1" applyProtection="1"/>
    <xf numFmtId="166" fontId="3" fillId="3" borderId="0" xfId="0" applyNumberFormat="1" applyFont="1" applyFill="1" applyBorder="1" applyProtection="1"/>
    <xf numFmtId="0" fontId="10" fillId="2" borderId="70" xfId="0" quotePrefix="1" applyFont="1" applyFill="1" applyBorder="1" applyAlignment="1" applyProtection="1">
      <alignment horizontal="left"/>
    </xf>
    <xf numFmtId="0" fontId="10" fillId="2" borderId="70" xfId="0" applyFont="1" applyFill="1" applyBorder="1" applyAlignment="1" applyProtection="1">
      <alignment horizontal="left"/>
    </xf>
    <xf numFmtId="3" fontId="10" fillId="2" borderId="70" xfId="0" applyNumberFormat="1" applyFont="1" applyFill="1" applyBorder="1" applyAlignment="1" applyProtection="1"/>
    <xf numFmtId="3" fontId="10" fillId="2" borderId="71" xfId="0" applyNumberFormat="1" applyFont="1" applyFill="1" applyBorder="1" applyAlignment="1" applyProtection="1"/>
    <xf numFmtId="3" fontId="10" fillId="2" borderId="72" xfId="0" applyNumberFormat="1" applyFont="1" applyFill="1" applyBorder="1" applyAlignment="1" applyProtection="1"/>
    <xf numFmtId="3" fontId="10" fillId="2" borderId="73" xfId="0" applyNumberFormat="1" applyFont="1" applyFill="1" applyBorder="1" applyAlignment="1" applyProtection="1"/>
    <xf numFmtId="1" fontId="3" fillId="2" borderId="0" xfId="0" applyNumberFormat="1" applyFont="1" applyFill="1" applyBorder="1" applyAlignment="1" applyProtection="1">
      <alignment horizontal="right"/>
    </xf>
    <xf numFmtId="0" fontId="10" fillId="5" borderId="74" xfId="0" applyFont="1" applyFill="1" applyBorder="1" applyAlignment="1" applyProtection="1">
      <alignment horizontal="left"/>
    </xf>
    <xf numFmtId="0" fontId="10" fillId="2" borderId="75" xfId="0" applyFont="1" applyFill="1" applyBorder="1" applyAlignment="1" applyProtection="1">
      <alignment horizontal="left"/>
    </xf>
    <xf numFmtId="0" fontId="10" fillId="2" borderId="76" xfId="0" quotePrefix="1" applyFont="1" applyFill="1" applyBorder="1" applyAlignment="1" applyProtection="1">
      <alignment horizontal="left"/>
    </xf>
    <xf numFmtId="3" fontId="21" fillId="5" borderId="77" xfId="2" applyNumberFormat="1" applyFont="1" applyFill="1" applyBorder="1" applyAlignment="1" applyProtection="1">
      <alignment horizontal="right" vertical="center"/>
    </xf>
    <xf numFmtId="3" fontId="21" fillId="5" borderId="78" xfId="2" applyNumberFormat="1" applyFont="1" applyFill="1" applyBorder="1" applyAlignment="1" applyProtection="1">
      <alignment horizontal="right" vertical="center"/>
    </xf>
    <xf numFmtId="3" fontId="21" fillId="5" borderId="75" xfId="2" applyNumberFormat="1" applyFont="1" applyFill="1" applyBorder="1" applyAlignment="1" applyProtection="1">
      <alignment horizontal="right" vertical="center"/>
    </xf>
    <xf numFmtId="3" fontId="21" fillId="5" borderId="79" xfId="2" applyNumberFormat="1" applyFont="1" applyFill="1" applyBorder="1" applyAlignment="1" applyProtection="1">
      <alignment horizontal="right" vertical="center"/>
    </xf>
    <xf numFmtId="3" fontId="19" fillId="2" borderId="80" xfId="0" applyNumberFormat="1" applyFont="1" applyFill="1" applyBorder="1" applyAlignment="1" applyProtection="1">
      <alignment horizontal="center"/>
    </xf>
    <xf numFmtId="0" fontId="10" fillId="5" borderId="81" xfId="0" applyFont="1" applyFill="1" applyBorder="1" applyAlignment="1" applyProtection="1">
      <alignment horizontal="left"/>
    </xf>
    <xf numFmtId="0" fontId="10" fillId="2" borderId="82" xfId="0" applyFont="1" applyFill="1" applyBorder="1" applyAlignment="1" applyProtection="1">
      <alignment horizontal="left"/>
    </xf>
    <xf numFmtId="0" fontId="10" fillId="2" borderId="83" xfId="0" quotePrefix="1" applyFont="1" applyFill="1" applyBorder="1" applyAlignment="1" applyProtection="1">
      <alignment horizontal="left"/>
    </xf>
    <xf numFmtId="3" fontId="21" fillId="5" borderId="84" xfId="2" applyNumberFormat="1" applyFont="1" applyFill="1" applyBorder="1" applyAlignment="1" applyProtection="1">
      <alignment horizontal="right" vertical="center"/>
    </xf>
    <xf numFmtId="3" fontId="21" fillId="5" borderId="85" xfId="2" applyNumberFormat="1" applyFont="1" applyFill="1" applyBorder="1" applyAlignment="1" applyProtection="1">
      <alignment horizontal="right" vertical="center"/>
    </xf>
    <xf numFmtId="3" fontId="21" fillId="5" borderId="82" xfId="2" applyNumberFormat="1" applyFont="1" applyFill="1" applyBorder="1" applyAlignment="1" applyProtection="1">
      <alignment horizontal="right" vertical="center"/>
    </xf>
    <xf numFmtId="3" fontId="21" fillId="5" borderId="86" xfId="2" applyNumberFormat="1" applyFont="1" applyFill="1" applyBorder="1" applyAlignment="1" applyProtection="1">
      <alignment horizontal="right" vertical="center"/>
    </xf>
    <xf numFmtId="0" fontId="10" fillId="5" borderId="87" xfId="0" applyFont="1" applyFill="1" applyBorder="1" applyAlignment="1" applyProtection="1">
      <alignment horizontal="left"/>
    </xf>
    <xf numFmtId="0" fontId="10" fillId="2" borderId="88" xfId="0" applyFont="1" applyFill="1" applyBorder="1" applyAlignment="1" applyProtection="1">
      <alignment horizontal="left"/>
    </xf>
    <xf numFmtId="0" fontId="10" fillId="2" borderId="89" xfId="0" quotePrefix="1" applyFont="1" applyFill="1" applyBorder="1" applyAlignment="1" applyProtection="1">
      <alignment horizontal="left"/>
    </xf>
    <xf numFmtId="3" fontId="21" fillId="5" borderId="90" xfId="2" applyNumberFormat="1" applyFont="1" applyFill="1" applyBorder="1" applyAlignment="1" applyProtection="1">
      <alignment horizontal="right" vertical="center"/>
    </xf>
    <xf numFmtId="3" fontId="21" fillId="5" borderId="91" xfId="2" applyNumberFormat="1" applyFont="1" applyFill="1" applyBorder="1" applyAlignment="1" applyProtection="1">
      <alignment horizontal="right" vertical="center"/>
    </xf>
    <xf numFmtId="3" fontId="21" fillId="5" borderId="88" xfId="2" applyNumberFormat="1" applyFont="1" applyFill="1" applyBorder="1" applyAlignment="1" applyProtection="1">
      <alignment horizontal="right" vertical="center"/>
    </xf>
    <xf numFmtId="3" fontId="21" fillId="5" borderId="92" xfId="2" applyNumberFormat="1" applyFont="1" applyFill="1" applyBorder="1" applyAlignment="1" applyProtection="1">
      <alignment horizontal="right" vertical="center"/>
    </xf>
    <xf numFmtId="0" fontId="10" fillId="2" borderId="93" xfId="0" quotePrefix="1" applyFont="1" applyFill="1" applyBorder="1" applyAlignment="1" applyProtection="1">
      <alignment horizontal="left"/>
    </xf>
    <xf numFmtId="0" fontId="10" fillId="2" borderId="93" xfId="0" applyFont="1" applyFill="1" applyBorder="1" applyAlignment="1" applyProtection="1">
      <alignment horizontal="left"/>
    </xf>
    <xf numFmtId="3" fontId="10" fillId="2" borderId="93" xfId="0" applyNumberFormat="1" applyFont="1" applyFill="1" applyBorder="1" applyAlignment="1" applyProtection="1"/>
    <xf numFmtId="3" fontId="10" fillId="2" borderId="94" xfId="0" applyNumberFormat="1" applyFont="1" applyFill="1" applyBorder="1" applyAlignment="1" applyProtection="1"/>
    <xf numFmtId="3" fontId="10" fillId="2" borderId="80" xfId="0" applyNumberFormat="1" applyFont="1" applyFill="1" applyBorder="1" applyAlignment="1" applyProtection="1"/>
    <xf numFmtId="3" fontId="10" fillId="2" borderId="95" xfId="0" applyNumberFormat="1" applyFont="1" applyFill="1" applyBorder="1" applyAlignment="1" applyProtection="1"/>
    <xf numFmtId="0" fontId="10" fillId="2" borderId="41" xfId="0" quotePrefix="1" applyFont="1" applyFill="1" applyBorder="1" applyAlignment="1" applyProtection="1">
      <alignment horizontal="left"/>
    </xf>
    <xf numFmtId="0" fontId="10" fillId="5" borderId="26" xfId="0" applyFont="1" applyFill="1" applyBorder="1" applyAlignment="1" applyProtection="1">
      <alignment horizontal="left"/>
    </xf>
    <xf numFmtId="3" fontId="10" fillId="5" borderId="26" xfId="0" applyNumberFormat="1" applyFont="1" applyFill="1" applyBorder="1" applyAlignment="1" applyProtection="1"/>
    <xf numFmtId="3" fontId="10" fillId="5" borderId="27" xfId="0" applyNumberFormat="1" applyFont="1" applyFill="1" applyBorder="1" applyAlignment="1" applyProtection="1"/>
    <xf numFmtId="3" fontId="10" fillId="5" borderId="5" xfId="0" applyNumberFormat="1" applyFont="1" applyFill="1" applyBorder="1" applyAlignment="1" applyProtection="1"/>
    <xf numFmtId="3" fontId="21" fillId="5" borderId="5" xfId="2" applyNumberFormat="1" applyFont="1" applyFill="1" applyBorder="1" applyAlignment="1" applyProtection="1">
      <alignment horizontal="right" vertical="center"/>
    </xf>
    <xf numFmtId="3" fontId="10" fillId="5" borderId="20" xfId="0" applyNumberFormat="1" applyFont="1" applyFill="1" applyBorder="1" applyAlignment="1" applyProtection="1"/>
    <xf numFmtId="3" fontId="19" fillId="5" borderId="5" xfId="0" applyNumberFormat="1" applyFont="1" applyFill="1" applyBorder="1" applyAlignment="1" applyProtection="1">
      <alignment horizontal="center"/>
    </xf>
    <xf numFmtId="0" fontId="10" fillId="2" borderId="52" xfId="0" applyFont="1" applyFill="1" applyBorder="1" applyAlignment="1" applyProtection="1">
      <alignment horizontal="left"/>
    </xf>
    <xf numFmtId="0" fontId="10" fillId="2" borderId="52" xfId="0" quotePrefix="1" applyFont="1" applyFill="1" applyBorder="1" applyAlignment="1" applyProtection="1">
      <alignment horizontal="left"/>
    </xf>
    <xf numFmtId="0" fontId="20" fillId="2" borderId="41" xfId="0" applyFont="1" applyFill="1" applyBorder="1" applyAlignment="1" applyProtection="1">
      <alignment horizontal="left"/>
    </xf>
    <xf numFmtId="0" fontId="10" fillId="5" borderId="48" xfId="0" applyFont="1" applyFill="1" applyBorder="1" applyAlignment="1" applyProtection="1">
      <alignment horizontal="left"/>
    </xf>
    <xf numFmtId="0" fontId="10" fillId="5" borderId="48" xfId="0" quotePrefix="1" applyFont="1" applyFill="1" applyBorder="1" applyAlignment="1" applyProtection="1">
      <alignment horizontal="left"/>
    </xf>
    <xf numFmtId="3" fontId="10" fillId="5" borderId="48" xfId="0" applyNumberFormat="1" applyFont="1" applyFill="1" applyBorder="1" applyAlignment="1" applyProtection="1"/>
    <xf numFmtId="3" fontId="10" fillId="5" borderId="49" xfId="0" applyNumberFormat="1" applyFont="1" applyFill="1" applyBorder="1" applyAlignment="1" applyProtection="1"/>
    <xf numFmtId="3" fontId="10" fillId="5" borderId="50" xfId="0" applyNumberFormat="1" applyFont="1" applyFill="1" applyBorder="1" applyAlignment="1" applyProtection="1"/>
    <xf numFmtId="3" fontId="10" fillId="5" borderId="51" xfId="0" applyNumberFormat="1" applyFont="1" applyFill="1" applyBorder="1" applyAlignment="1" applyProtection="1"/>
    <xf numFmtId="3" fontId="19" fillId="5" borderId="50" xfId="0" applyNumberFormat="1" applyFont="1" applyFill="1" applyBorder="1" applyAlignment="1" applyProtection="1">
      <alignment horizontal="center"/>
    </xf>
    <xf numFmtId="0" fontId="10" fillId="5" borderId="57" xfId="0" applyFont="1" applyFill="1" applyBorder="1" applyAlignment="1" applyProtection="1">
      <alignment horizontal="left"/>
    </xf>
    <xf numFmtId="0" fontId="20" fillId="5" borderId="56" xfId="0" applyFont="1" applyFill="1" applyBorder="1" applyAlignment="1" applyProtection="1">
      <alignment horizontal="left"/>
    </xf>
    <xf numFmtId="0" fontId="10" fillId="5" borderId="57" xfId="0" quotePrefix="1" applyFont="1" applyFill="1" applyBorder="1" applyAlignment="1" applyProtection="1">
      <alignment horizontal="left"/>
    </xf>
    <xf numFmtId="3" fontId="10" fillId="5" borderId="57" xfId="0" applyNumberFormat="1" applyFont="1" applyFill="1" applyBorder="1" applyAlignment="1" applyProtection="1"/>
    <xf numFmtId="3" fontId="10" fillId="5" borderId="58" xfId="0" applyNumberFormat="1" applyFont="1" applyFill="1" applyBorder="1" applyAlignment="1" applyProtection="1"/>
    <xf numFmtId="3" fontId="10" fillId="5" borderId="59" xfId="0" applyNumberFormat="1" applyFont="1" applyFill="1" applyBorder="1" applyAlignment="1" applyProtection="1"/>
    <xf numFmtId="3" fontId="10" fillId="5" borderId="60" xfId="0" applyNumberFormat="1" applyFont="1" applyFill="1" applyBorder="1" applyAlignment="1" applyProtection="1"/>
    <xf numFmtId="1" fontId="3" fillId="0" borderId="96" xfId="0" applyNumberFormat="1" applyFont="1" applyBorder="1" applyAlignment="1" applyProtection="1"/>
    <xf numFmtId="1" fontId="3" fillId="0" borderId="97" xfId="0" applyNumberFormat="1" applyFont="1" applyBorder="1" applyAlignment="1" applyProtection="1"/>
    <xf numFmtId="3" fontId="19" fillId="5" borderId="59" xfId="0" applyNumberFormat="1" applyFont="1" applyFill="1" applyBorder="1" applyAlignment="1" applyProtection="1">
      <alignment horizontal="center"/>
    </xf>
    <xf numFmtId="0" fontId="22" fillId="2" borderId="0" xfId="0" applyFont="1" applyFill="1" applyProtection="1"/>
    <xf numFmtId="0" fontId="10" fillId="2" borderId="12" xfId="0" quotePrefix="1" applyFont="1" applyFill="1" applyBorder="1" applyAlignment="1" applyProtection="1">
      <alignment horizontal="left"/>
    </xf>
    <xf numFmtId="3" fontId="10" fillId="2" borderId="12" xfId="0" quotePrefix="1" applyNumberFormat="1" applyFont="1" applyFill="1" applyBorder="1" applyAlignment="1" applyProtection="1"/>
    <xf numFmtId="3" fontId="10" fillId="2" borderId="29" xfId="0" quotePrefix="1" applyNumberFormat="1" applyFont="1" applyFill="1" applyBorder="1" applyAlignment="1" applyProtection="1"/>
    <xf numFmtId="3" fontId="10" fillId="2" borderId="21" xfId="0" quotePrefix="1" applyNumberFormat="1" applyFont="1" applyFill="1" applyBorder="1" applyAlignment="1" applyProtection="1"/>
    <xf numFmtId="3" fontId="10" fillId="2" borderId="30" xfId="0" quotePrefix="1" applyNumberFormat="1" applyFont="1" applyFill="1" applyBorder="1" applyAlignment="1" applyProtection="1"/>
    <xf numFmtId="1" fontId="10" fillId="0" borderId="18" xfId="0" quotePrefix="1" applyNumberFormat="1" applyFont="1" applyBorder="1" applyAlignment="1" applyProtection="1"/>
    <xf numFmtId="1" fontId="10" fillId="0" borderId="26" xfId="0" quotePrefix="1" applyNumberFormat="1" applyFont="1" applyBorder="1" applyAlignment="1" applyProtection="1"/>
    <xf numFmtId="3" fontId="19" fillId="2" borderId="21" xfId="0" quotePrefix="1" applyNumberFormat="1" applyFont="1" applyFill="1" applyBorder="1" applyAlignment="1" applyProtection="1">
      <alignment horizontal="center"/>
    </xf>
    <xf numFmtId="0" fontId="5" fillId="10" borderId="32" xfId="0" applyFont="1" applyFill="1" applyBorder="1" applyAlignment="1" applyProtection="1">
      <alignment horizontal="left"/>
    </xf>
    <xf numFmtId="0" fontId="3" fillId="10" borderId="32" xfId="0" applyFont="1" applyFill="1" applyBorder="1" applyAlignment="1" applyProtection="1">
      <alignment horizontal="left"/>
    </xf>
    <xf numFmtId="3" fontId="3" fillId="10" borderId="32" xfId="0" applyNumberFormat="1" applyFont="1" applyFill="1" applyBorder="1" applyAlignment="1" applyProtection="1"/>
    <xf numFmtId="3" fontId="10" fillId="10" borderId="33" xfId="0" applyNumberFormat="1" applyFont="1" applyFill="1" applyBorder="1" applyAlignment="1" applyProtection="1"/>
    <xf numFmtId="3" fontId="10" fillId="10" borderId="34" xfId="0" applyNumberFormat="1" applyFont="1" applyFill="1" applyBorder="1" applyAlignment="1" applyProtection="1"/>
    <xf numFmtId="3" fontId="23" fillId="10" borderId="34" xfId="2" applyNumberFormat="1" applyFont="1" applyFill="1" applyBorder="1" applyAlignment="1" applyProtection="1">
      <alignment vertical="center"/>
    </xf>
    <xf numFmtId="3" fontId="10" fillId="10" borderId="35" xfId="0" applyNumberFormat="1" applyFont="1" applyFill="1" applyBorder="1" applyAlignment="1" applyProtection="1"/>
    <xf numFmtId="3" fontId="19" fillId="10" borderId="34" xfId="0" applyNumberFormat="1" applyFont="1" applyFill="1" applyBorder="1" applyAlignment="1" applyProtection="1">
      <alignment horizontal="center"/>
    </xf>
    <xf numFmtId="3" fontId="10" fillId="2" borderId="93" xfId="0" quotePrefix="1" applyNumberFormat="1" applyFont="1" applyFill="1" applyBorder="1" applyAlignment="1" applyProtection="1"/>
    <xf numFmtId="3" fontId="10" fillId="2" borderId="94" xfId="0" quotePrefix="1" applyNumberFormat="1" applyFont="1" applyFill="1" applyBorder="1" applyAlignment="1" applyProtection="1"/>
    <xf numFmtId="3" fontId="10" fillId="2" borderId="80" xfId="0" quotePrefix="1" applyNumberFormat="1" applyFont="1" applyFill="1" applyBorder="1" applyAlignment="1" applyProtection="1"/>
    <xf numFmtId="3" fontId="10" fillId="2" borderId="95" xfId="0" quotePrefix="1" applyNumberFormat="1" applyFont="1" applyFill="1" applyBorder="1" applyAlignment="1" applyProtection="1"/>
    <xf numFmtId="3" fontId="19" fillId="2" borderId="80" xfId="0" quotePrefix="1" applyNumberFormat="1" applyFont="1" applyFill="1" applyBorder="1" applyAlignment="1" applyProtection="1">
      <alignment horizontal="center"/>
    </xf>
    <xf numFmtId="3" fontId="10" fillId="2" borderId="52" xfId="0" quotePrefix="1" applyNumberFormat="1" applyFont="1" applyFill="1" applyBorder="1" applyAlignment="1" applyProtection="1"/>
    <xf numFmtId="3" fontId="10" fillId="2" borderId="53" xfId="0" quotePrefix="1" applyNumberFormat="1" applyFont="1" applyFill="1" applyBorder="1" applyAlignment="1" applyProtection="1"/>
    <xf numFmtId="3" fontId="10" fillId="2" borderId="54" xfId="0" quotePrefix="1" applyNumberFormat="1" applyFont="1" applyFill="1" applyBorder="1" applyAlignment="1" applyProtection="1"/>
    <xf numFmtId="3" fontId="10" fillId="2" borderId="55" xfId="0" quotePrefix="1" applyNumberFormat="1" applyFont="1" applyFill="1" applyBorder="1" applyAlignment="1" applyProtection="1"/>
    <xf numFmtId="3" fontId="19" fillId="2" borderId="54" xfId="0" quotePrefix="1" applyNumberFormat="1" applyFont="1" applyFill="1" applyBorder="1" applyAlignment="1" applyProtection="1">
      <alignment horizontal="center"/>
    </xf>
    <xf numFmtId="3" fontId="10" fillId="2" borderId="41" xfId="0" quotePrefix="1" applyNumberFormat="1" applyFont="1" applyFill="1" applyBorder="1" applyAlignment="1" applyProtection="1"/>
    <xf numFmtId="3" fontId="10" fillId="2" borderId="42" xfId="0" quotePrefix="1" applyNumberFormat="1" applyFont="1" applyFill="1" applyBorder="1" applyAlignment="1" applyProtection="1"/>
    <xf numFmtId="3" fontId="10" fillId="2" borderId="43" xfId="0" quotePrefix="1" applyNumberFormat="1" applyFont="1" applyFill="1" applyBorder="1" applyAlignment="1" applyProtection="1"/>
    <xf numFmtId="3" fontId="10" fillId="2" borderId="44" xfId="0" quotePrefix="1" applyNumberFormat="1" applyFont="1" applyFill="1" applyBorder="1" applyAlignment="1" applyProtection="1"/>
    <xf numFmtId="3" fontId="19" fillId="2" borderId="43" xfId="0" quotePrefix="1" applyNumberFormat="1" applyFont="1" applyFill="1" applyBorder="1" applyAlignment="1" applyProtection="1">
      <alignment horizontal="center"/>
    </xf>
    <xf numFmtId="0" fontId="10" fillId="11" borderId="26" xfId="0" applyFont="1" applyFill="1" applyBorder="1" applyAlignment="1" applyProtection="1">
      <alignment horizontal="left"/>
    </xf>
    <xf numFmtId="0" fontId="10" fillId="11" borderId="26" xfId="0" quotePrefix="1" applyFont="1" applyFill="1" applyBorder="1" applyAlignment="1" applyProtection="1">
      <alignment horizontal="left"/>
    </xf>
    <xf numFmtId="3" fontId="10" fillId="11" borderId="26" xfId="0" quotePrefix="1" applyNumberFormat="1" applyFont="1" applyFill="1" applyBorder="1" applyAlignment="1" applyProtection="1"/>
    <xf numFmtId="3" fontId="10" fillId="11" borderId="27" xfId="0" quotePrefix="1" applyNumberFormat="1" applyFont="1" applyFill="1" applyBorder="1" applyAlignment="1" applyProtection="1"/>
    <xf numFmtId="3" fontId="10" fillId="11" borderId="5" xfId="0" quotePrefix="1" applyNumberFormat="1" applyFont="1" applyFill="1" applyBorder="1" applyAlignment="1" applyProtection="1"/>
    <xf numFmtId="3" fontId="10" fillId="11" borderId="20" xfId="0" quotePrefix="1" applyNumberFormat="1" applyFont="1" applyFill="1" applyBorder="1" applyAlignment="1" applyProtection="1"/>
    <xf numFmtId="3" fontId="19" fillId="11" borderId="5" xfId="0" quotePrefix="1" applyNumberFormat="1" applyFont="1" applyFill="1" applyBorder="1" applyAlignment="1" applyProtection="1">
      <alignment horizontal="center"/>
    </xf>
    <xf numFmtId="43" fontId="10" fillId="2" borderId="93" xfId="1" applyFont="1" applyFill="1" applyBorder="1" applyAlignment="1" applyProtection="1">
      <alignment horizontal="left"/>
    </xf>
    <xf numFmtId="0" fontId="20" fillId="2" borderId="93" xfId="0" applyFont="1" applyFill="1" applyBorder="1" applyAlignment="1" applyProtection="1">
      <alignment horizontal="left"/>
    </xf>
    <xf numFmtId="0" fontId="10" fillId="2" borderId="57" xfId="0" quotePrefix="1" applyFont="1" applyFill="1" applyBorder="1" applyAlignment="1" applyProtection="1">
      <alignment horizontal="left"/>
    </xf>
    <xf numFmtId="1" fontId="10" fillId="0" borderId="31" xfId="0" quotePrefix="1" applyNumberFormat="1" applyFont="1" applyBorder="1" applyAlignment="1" applyProtection="1"/>
    <xf numFmtId="0" fontId="5" fillId="5" borderId="32" xfId="0" quotePrefix="1" applyFont="1" applyFill="1" applyBorder="1" applyAlignment="1" applyProtection="1">
      <alignment horizontal="left"/>
    </xf>
    <xf numFmtId="0" fontId="3" fillId="5" borderId="32" xfId="0" applyFont="1" applyFill="1" applyBorder="1" applyAlignment="1" applyProtection="1">
      <alignment horizontal="left"/>
    </xf>
    <xf numFmtId="0" fontId="3" fillId="5" borderId="32" xfId="0" quotePrefix="1" applyFont="1" applyFill="1" applyBorder="1" applyAlignment="1" applyProtection="1">
      <alignment horizontal="left"/>
    </xf>
    <xf numFmtId="3" fontId="3" fillId="5" borderId="32" xfId="0" applyNumberFormat="1" applyFont="1" applyFill="1" applyBorder="1" applyAlignment="1" applyProtection="1"/>
    <xf numFmtId="3" fontId="10" fillId="5" borderId="33" xfId="0" applyNumberFormat="1" applyFont="1" applyFill="1" applyBorder="1" applyAlignment="1" applyProtection="1"/>
    <xf numFmtId="3" fontId="10" fillId="5" borderId="34" xfId="0" applyNumberFormat="1" applyFont="1" applyFill="1" applyBorder="1" applyAlignment="1" applyProtection="1"/>
    <xf numFmtId="3" fontId="10" fillId="5" borderId="35" xfId="0" applyNumberFormat="1" applyFont="1" applyFill="1" applyBorder="1" applyAlignment="1" applyProtection="1"/>
    <xf numFmtId="1" fontId="10" fillId="0" borderId="98" xfId="0" quotePrefix="1" applyNumberFormat="1" applyFont="1" applyBorder="1" applyAlignment="1" applyProtection="1"/>
    <xf numFmtId="3" fontId="19" fillId="5" borderId="34" xfId="0" applyNumberFormat="1" applyFont="1" applyFill="1" applyBorder="1" applyAlignment="1" applyProtection="1">
      <alignment horizontal="center"/>
    </xf>
    <xf numFmtId="0" fontId="5" fillId="7" borderId="99" xfId="0" applyFont="1" applyFill="1" applyBorder="1" applyAlignment="1" applyProtection="1">
      <alignment horizontal="left"/>
    </xf>
    <xf numFmtId="0" fontId="3" fillId="7" borderId="99" xfId="0" applyFont="1" applyFill="1" applyBorder="1" applyAlignment="1" applyProtection="1">
      <alignment horizontal="left"/>
    </xf>
    <xf numFmtId="167" fontId="3" fillId="7" borderId="99" xfId="0" applyNumberFormat="1" applyFont="1" applyFill="1" applyBorder="1" applyAlignment="1" applyProtection="1"/>
    <xf numFmtId="167" fontId="10" fillId="8" borderId="100" xfId="0" applyNumberFormat="1" applyFont="1" applyFill="1" applyBorder="1" applyAlignment="1" applyProtection="1"/>
    <xf numFmtId="167" fontId="10" fillId="8" borderId="101" xfId="0" applyNumberFormat="1" applyFont="1" applyFill="1" applyBorder="1" applyAlignment="1" applyProtection="1"/>
    <xf numFmtId="167" fontId="10" fillId="8" borderId="102" xfId="0" applyNumberFormat="1" applyFont="1" applyFill="1" applyBorder="1" applyAlignment="1" applyProtection="1"/>
    <xf numFmtId="3" fontId="19" fillId="7" borderId="101" xfId="0" applyNumberFormat="1" applyFont="1" applyFill="1" applyBorder="1" applyAlignment="1" applyProtection="1">
      <alignment horizontal="center"/>
    </xf>
    <xf numFmtId="0" fontId="24" fillId="12" borderId="103" xfId="3" applyFont="1" applyFill="1" applyBorder="1" applyAlignment="1" applyProtection="1">
      <alignment horizontal="center"/>
    </xf>
    <xf numFmtId="0" fontId="2" fillId="2" borderId="104" xfId="0" quotePrefix="1" applyFont="1" applyFill="1" applyBorder="1" applyAlignment="1" applyProtection="1">
      <alignment horizontal="left"/>
    </xf>
    <xf numFmtId="167" fontId="25" fillId="2" borderId="104" xfId="0" quotePrefix="1" applyNumberFormat="1" applyFont="1" applyFill="1" applyBorder="1" applyAlignment="1" applyProtection="1"/>
    <xf numFmtId="167" fontId="26" fillId="2" borderId="104" xfId="0" quotePrefix="1" applyNumberFormat="1" applyFont="1" applyFill="1" applyBorder="1" applyAlignment="1" applyProtection="1"/>
    <xf numFmtId="167" fontId="26" fillId="2" borderId="97" xfId="0" quotePrefix="1" applyNumberFormat="1" applyFont="1" applyFill="1" applyBorder="1" applyAlignment="1" applyProtection="1"/>
    <xf numFmtId="3" fontId="19" fillId="2" borderId="25" xfId="0" quotePrefix="1" applyNumberFormat="1" applyFont="1" applyFill="1" applyBorder="1" applyAlignment="1" applyProtection="1">
      <alignment horizontal="center"/>
    </xf>
    <xf numFmtId="0" fontId="3" fillId="7" borderId="32" xfId="0" applyFont="1" applyFill="1" applyBorder="1" applyAlignment="1" applyProtection="1">
      <alignment horizontal="left"/>
    </xf>
    <xf numFmtId="167" fontId="3" fillId="7" borderId="32" xfId="0" applyNumberFormat="1" applyFont="1" applyFill="1" applyBorder="1" applyAlignment="1" applyProtection="1">
      <alignment horizontal="right"/>
    </xf>
    <xf numFmtId="167" fontId="10" fillId="8" borderId="33" xfId="0" applyNumberFormat="1" applyFont="1" applyFill="1" applyBorder="1" applyAlignment="1" applyProtection="1">
      <alignment horizontal="right"/>
    </xf>
    <xf numFmtId="167" fontId="10" fillId="8" borderId="34" xfId="0" applyNumberFormat="1" applyFont="1" applyFill="1" applyBorder="1" applyAlignment="1" applyProtection="1">
      <alignment horizontal="right"/>
    </xf>
    <xf numFmtId="167" fontId="10" fillId="8" borderId="35" xfId="0" applyNumberFormat="1" applyFont="1" applyFill="1" applyBorder="1" applyAlignment="1" applyProtection="1">
      <alignment horizontal="right"/>
    </xf>
    <xf numFmtId="1" fontId="3" fillId="0" borderId="28" xfId="0" applyNumberFormat="1" applyFont="1" applyBorder="1" applyAlignment="1" applyProtection="1">
      <alignment horizontal="right"/>
    </xf>
    <xf numFmtId="3" fontId="19" fillId="7" borderId="34" xfId="0" applyNumberFormat="1" applyFont="1" applyFill="1" applyBorder="1" applyAlignment="1" applyProtection="1">
      <alignment horizontal="center"/>
    </xf>
    <xf numFmtId="0" fontId="3" fillId="2" borderId="12" xfId="0" applyFont="1" applyFill="1" applyBorder="1" applyAlignment="1" applyProtection="1">
      <alignment horizontal="left"/>
    </xf>
    <xf numFmtId="3" fontId="3" fillId="2" borderId="12" xfId="0" applyNumberFormat="1" applyFont="1" applyFill="1" applyBorder="1" applyAlignment="1" applyProtection="1">
      <alignment horizontal="right"/>
    </xf>
    <xf numFmtId="3" fontId="3" fillId="13" borderId="12" xfId="0" applyNumberFormat="1" applyFont="1" applyFill="1" applyBorder="1" applyAlignment="1" applyProtection="1">
      <alignment horizontal="right"/>
    </xf>
    <xf numFmtId="3" fontId="10" fillId="2" borderId="29" xfId="0" applyNumberFormat="1" applyFont="1" applyFill="1" applyBorder="1" applyAlignment="1" applyProtection="1">
      <alignment horizontal="right"/>
    </xf>
    <xf numFmtId="3" fontId="10" fillId="2" borderId="21" xfId="0" applyNumberFormat="1" applyFont="1" applyFill="1" applyBorder="1" applyAlignment="1" applyProtection="1">
      <alignment horizontal="right"/>
    </xf>
    <xf numFmtId="3" fontId="10" fillId="2" borderId="30" xfId="0" applyNumberFormat="1" applyFont="1" applyFill="1" applyBorder="1" applyAlignment="1" applyProtection="1">
      <alignment horizontal="right"/>
    </xf>
    <xf numFmtId="1" fontId="3" fillId="0" borderId="12" xfId="0" applyNumberFormat="1" applyFont="1" applyBorder="1" applyAlignment="1" applyProtection="1">
      <alignment horizontal="right"/>
    </xf>
    <xf numFmtId="3" fontId="19" fillId="2" borderId="21" xfId="0" applyNumberFormat="1" applyFont="1" applyFill="1" applyBorder="1" applyAlignment="1" applyProtection="1">
      <alignment horizontal="center"/>
    </xf>
    <xf numFmtId="0" fontId="2" fillId="2" borderId="105" xfId="0" applyFont="1" applyFill="1" applyBorder="1" applyProtection="1"/>
    <xf numFmtId="1" fontId="10" fillId="0" borderId="48" xfId="0" quotePrefix="1" applyNumberFormat="1" applyFont="1" applyBorder="1" applyAlignment="1" applyProtection="1"/>
    <xf numFmtId="166" fontId="10" fillId="0" borderId="105" xfId="0" applyNumberFormat="1" applyFont="1" applyBorder="1" applyProtection="1"/>
    <xf numFmtId="0" fontId="2" fillId="2" borderId="106" xfId="0" applyFont="1" applyFill="1" applyBorder="1" applyProtection="1"/>
    <xf numFmtId="0" fontId="10" fillId="14" borderId="48" xfId="0" applyFont="1" applyFill="1" applyBorder="1" applyAlignment="1" applyProtection="1">
      <alignment horizontal="left"/>
    </xf>
    <xf numFmtId="3" fontId="10" fillId="14" borderId="48" xfId="0" quotePrefix="1" applyNumberFormat="1" applyFont="1" applyFill="1" applyBorder="1" applyAlignment="1" applyProtection="1"/>
    <xf numFmtId="3" fontId="10" fillId="14" borderId="49" xfId="0" quotePrefix="1" applyNumberFormat="1" applyFont="1" applyFill="1" applyBorder="1" applyAlignment="1" applyProtection="1"/>
    <xf numFmtId="3" fontId="10" fillId="14" borderId="50" xfId="0" quotePrefix="1" applyNumberFormat="1" applyFont="1" applyFill="1" applyBorder="1" applyAlignment="1" applyProtection="1"/>
    <xf numFmtId="3" fontId="10" fillId="14" borderId="51" xfId="0" quotePrefix="1" applyNumberFormat="1" applyFont="1" applyFill="1" applyBorder="1" applyAlignment="1" applyProtection="1"/>
    <xf numFmtId="3" fontId="10" fillId="0" borderId="52" xfId="0" quotePrefix="1" applyNumberFormat="1" applyFont="1" applyBorder="1" applyAlignment="1" applyProtection="1"/>
    <xf numFmtId="3" fontId="19" fillId="14" borderId="50" xfId="0" quotePrefix="1" applyNumberFormat="1" applyFont="1" applyFill="1" applyBorder="1" applyAlignment="1" applyProtection="1">
      <alignment horizontal="center"/>
    </xf>
    <xf numFmtId="166" fontId="10" fillId="0" borderId="106" xfId="0" applyNumberFormat="1" applyFont="1" applyBorder="1" applyProtection="1"/>
    <xf numFmtId="0" fontId="10" fillId="14" borderId="52" xfId="0" applyFont="1" applyFill="1" applyBorder="1" applyAlignment="1" applyProtection="1">
      <alignment horizontal="left"/>
    </xf>
    <xf numFmtId="3" fontId="10" fillId="14" borderId="52" xfId="0" quotePrefix="1" applyNumberFormat="1" applyFont="1" applyFill="1" applyBorder="1" applyAlignment="1" applyProtection="1"/>
    <xf numFmtId="3" fontId="10" fillId="14" borderId="53" xfId="0" quotePrefix="1" applyNumberFormat="1" applyFont="1" applyFill="1" applyBorder="1" applyAlignment="1" applyProtection="1"/>
    <xf numFmtId="3" fontId="10" fillId="14" borderId="54" xfId="0" quotePrefix="1" applyNumberFormat="1" applyFont="1" applyFill="1" applyBorder="1" applyAlignment="1" applyProtection="1"/>
    <xf numFmtId="3" fontId="10" fillId="14" borderId="55" xfId="0" quotePrefix="1" applyNumberFormat="1" applyFont="1" applyFill="1" applyBorder="1" applyAlignment="1" applyProtection="1"/>
    <xf numFmtId="3" fontId="19" fillId="14" borderId="54" xfId="0" quotePrefix="1" applyNumberFormat="1" applyFont="1" applyFill="1" applyBorder="1" applyAlignment="1" applyProtection="1">
      <alignment horizontal="center"/>
    </xf>
    <xf numFmtId="166" fontId="10" fillId="14" borderId="52" xfId="0" applyNumberFormat="1" applyFont="1" applyFill="1" applyBorder="1" applyProtection="1"/>
    <xf numFmtId="166" fontId="10" fillId="14" borderId="57" xfId="0" applyNumberFormat="1" applyFont="1" applyFill="1" applyBorder="1" applyProtection="1"/>
    <xf numFmtId="3" fontId="10" fillId="14" borderId="57" xfId="0" quotePrefix="1" applyNumberFormat="1" applyFont="1" applyFill="1" applyBorder="1" applyAlignment="1" applyProtection="1"/>
    <xf numFmtId="3" fontId="10" fillId="14" borderId="58" xfId="0" quotePrefix="1" applyNumberFormat="1" applyFont="1" applyFill="1" applyBorder="1" applyAlignment="1" applyProtection="1"/>
    <xf numFmtId="3" fontId="10" fillId="14" borderId="59" xfId="0" quotePrefix="1" applyNumberFormat="1" applyFont="1" applyFill="1" applyBorder="1" applyAlignment="1" applyProtection="1"/>
    <xf numFmtId="3" fontId="10" fillId="14" borderId="60" xfId="0" quotePrefix="1" applyNumberFormat="1" applyFont="1" applyFill="1" applyBorder="1" applyAlignment="1" applyProtection="1"/>
    <xf numFmtId="3" fontId="19" fillId="14" borderId="59" xfId="0" quotePrefix="1" applyNumberFormat="1" applyFont="1" applyFill="1" applyBorder="1" applyAlignment="1" applyProtection="1">
      <alignment horizontal="center"/>
    </xf>
    <xf numFmtId="1" fontId="10" fillId="0" borderId="52" xfId="0" quotePrefix="1" applyNumberFormat="1" applyFont="1" applyBorder="1" applyAlignment="1" applyProtection="1"/>
    <xf numFmtId="0" fontId="10" fillId="14" borderId="57" xfId="0" applyFont="1" applyFill="1" applyBorder="1" applyAlignment="1" applyProtection="1">
      <alignment horizontal="left"/>
    </xf>
    <xf numFmtId="0" fontId="10" fillId="14" borderId="48" xfId="0" quotePrefix="1" applyFont="1" applyFill="1" applyBorder="1" applyAlignment="1" applyProtection="1">
      <alignment horizontal="left"/>
    </xf>
    <xf numFmtId="0" fontId="3" fillId="14" borderId="57" xfId="0" applyFont="1" applyFill="1" applyBorder="1" applyAlignment="1" applyProtection="1">
      <alignment horizontal="left"/>
    </xf>
    <xf numFmtId="0" fontId="3" fillId="2" borderId="93" xfId="0" quotePrefix="1" applyFont="1" applyFill="1" applyBorder="1" applyAlignment="1" applyProtection="1">
      <alignment horizontal="left"/>
    </xf>
    <xf numFmtId="166" fontId="10" fillId="2" borderId="52" xfId="0" applyNumberFormat="1" applyFont="1" applyFill="1" applyBorder="1" applyProtection="1"/>
    <xf numFmtId="1" fontId="3" fillId="0" borderId="52" xfId="0" applyNumberFormat="1" applyFont="1" applyBorder="1" applyAlignment="1" applyProtection="1"/>
    <xf numFmtId="0" fontId="2" fillId="2" borderId="107" xfId="0" applyFont="1" applyFill="1" applyBorder="1" applyProtection="1"/>
    <xf numFmtId="0" fontId="10" fillId="14" borderId="69" xfId="0" applyFont="1" applyFill="1" applyBorder="1" applyAlignment="1" applyProtection="1">
      <alignment horizontal="left"/>
    </xf>
    <xf numFmtId="3" fontId="10" fillId="14" borderId="69" xfId="0" applyNumberFormat="1" applyFont="1" applyFill="1" applyBorder="1" applyAlignment="1" applyProtection="1"/>
    <xf numFmtId="3" fontId="10" fillId="14" borderId="108" xfId="0" applyNumberFormat="1" applyFont="1" applyFill="1" applyBorder="1" applyAlignment="1" applyProtection="1"/>
    <xf numFmtId="3" fontId="10" fillId="14" borderId="109" xfId="0" applyNumberFormat="1" applyFont="1" applyFill="1" applyBorder="1" applyAlignment="1" applyProtection="1"/>
    <xf numFmtId="3" fontId="10" fillId="14" borderId="110" xfId="0" applyNumberFormat="1" applyFont="1" applyFill="1" applyBorder="1" applyAlignment="1" applyProtection="1"/>
    <xf numFmtId="1" fontId="3" fillId="0" borderId="111" xfId="0" applyNumberFormat="1" applyFont="1" applyBorder="1" applyAlignment="1" applyProtection="1"/>
    <xf numFmtId="3" fontId="19" fillId="14" borderId="109" xfId="0" applyNumberFormat="1" applyFont="1" applyFill="1" applyBorder="1" applyAlignment="1" applyProtection="1">
      <alignment horizontal="center"/>
    </xf>
    <xf numFmtId="166" fontId="10" fillId="0" borderId="107" xfId="0" applyNumberFormat="1" applyFont="1" applyBorder="1" applyProtection="1"/>
    <xf numFmtId="166" fontId="10" fillId="2" borderId="112" xfId="0" applyNumberFormat="1" applyFont="1" applyFill="1" applyBorder="1" applyProtection="1"/>
    <xf numFmtId="1" fontId="3" fillId="2" borderId="28" xfId="0" applyNumberFormat="1" applyFont="1" applyFill="1" applyBorder="1" applyAlignment="1" applyProtection="1"/>
    <xf numFmtId="1" fontId="10" fillId="2" borderId="0" xfId="0" quotePrefix="1" applyNumberFormat="1" applyFont="1" applyFill="1" applyBorder="1" applyAlignment="1" applyProtection="1">
      <alignment horizontal="right"/>
    </xf>
    <xf numFmtId="1" fontId="3" fillId="2" borderId="113" xfId="0" applyNumberFormat="1" applyFont="1" applyFill="1" applyBorder="1" applyAlignment="1" applyProtection="1"/>
    <xf numFmtId="1" fontId="3" fillId="0" borderId="113" xfId="0" applyNumberFormat="1" applyFont="1" applyBorder="1" applyAlignment="1" applyProtection="1"/>
    <xf numFmtId="0" fontId="10" fillId="2" borderId="114" xfId="0" applyFont="1" applyFill="1" applyBorder="1" applyAlignment="1" applyProtection="1">
      <alignment horizontal="left"/>
    </xf>
    <xf numFmtId="0" fontId="10" fillId="2" borderId="112" xfId="0" applyFont="1" applyFill="1" applyBorder="1" applyAlignment="1" applyProtection="1">
      <alignment horizontal="left"/>
    </xf>
    <xf numFmtId="1" fontId="3" fillId="2" borderId="68" xfId="0" applyNumberFormat="1" applyFont="1" applyFill="1" applyBorder="1" applyProtection="1"/>
    <xf numFmtId="1" fontId="3" fillId="0" borderId="96" xfId="0" applyNumberFormat="1" applyFont="1" applyBorder="1" applyProtection="1"/>
    <xf numFmtId="1" fontId="3" fillId="0" borderId="68" xfId="0" applyNumberFormat="1" applyFont="1" applyBorder="1" applyProtection="1"/>
    <xf numFmtId="1" fontId="3" fillId="2" borderId="115" xfId="0" applyNumberFormat="1" applyFont="1" applyFill="1" applyBorder="1" applyProtection="1"/>
    <xf numFmtId="0" fontId="10" fillId="2" borderId="116" xfId="0" applyFont="1" applyFill="1" applyBorder="1" applyAlignment="1" applyProtection="1">
      <alignment horizontal="left"/>
    </xf>
    <xf numFmtId="3" fontId="10" fillId="2" borderId="0" xfId="0" applyNumberFormat="1" applyFont="1" applyFill="1" applyBorder="1" applyProtection="1"/>
    <xf numFmtId="0" fontId="27" fillId="2" borderId="0" xfId="3" applyFont="1" applyFill="1" applyBorder="1" applyProtection="1"/>
    <xf numFmtId="0" fontId="2" fillId="2" borderId="11" xfId="0" quotePrefix="1" applyFont="1" applyFill="1" applyBorder="1" applyAlignment="1" applyProtection="1">
      <alignment horizontal="left"/>
    </xf>
    <xf numFmtId="167" fontId="25" fillId="2" borderId="11" xfId="0" quotePrefix="1" applyNumberFormat="1" applyFont="1" applyFill="1" applyBorder="1" applyAlignment="1" applyProtection="1"/>
    <xf numFmtId="167" fontId="26" fillId="2" borderId="11" xfId="0" quotePrefix="1" applyNumberFormat="1" applyFont="1" applyFill="1" applyBorder="1" applyAlignment="1" applyProtection="1"/>
    <xf numFmtId="1" fontId="3" fillId="0" borderId="0" xfId="0" applyNumberFormat="1" applyFont="1" applyBorder="1" applyProtection="1"/>
    <xf numFmtId="0" fontId="10" fillId="2" borderId="0" xfId="0" applyFont="1" applyFill="1" applyBorder="1" applyAlignment="1" applyProtection="1">
      <alignment horizontal="left"/>
    </xf>
    <xf numFmtId="1" fontId="3" fillId="2" borderId="0" xfId="0" applyNumberFormat="1" applyFont="1" applyFill="1" applyBorder="1" applyProtection="1"/>
    <xf numFmtId="0" fontId="12" fillId="2" borderId="0" xfId="2" applyFont="1" applyFill="1" applyBorder="1" applyAlignment="1" applyProtection="1">
      <alignment horizontal="left" vertical="center"/>
    </xf>
    <xf numFmtId="1" fontId="3" fillId="2" borderId="36" xfId="0" applyNumberFormat="1" applyFont="1" applyFill="1" applyBorder="1" applyProtection="1"/>
    <xf numFmtId="0" fontId="28" fillId="5" borderId="5" xfId="2" applyFont="1" applyFill="1" applyBorder="1" applyAlignment="1" applyProtection="1">
      <alignment horizontal="center" vertical="center"/>
    </xf>
    <xf numFmtId="0" fontId="12" fillId="2" borderId="0" xfId="2" applyFont="1" applyFill="1" applyBorder="1" applyAlignment="1" applyProtection="1">
      <alignment horizontal="right" vertical="center"/>
    </xf>
    <xf numFmtId="0" fontId="29" fillId="5" borderId="5" xfId="2" applyFont="1" applyFill="1" applyBorder="1" applyAlignment="1" applyProtection="1">
      <alignment horizontal="center" vertical="center"/>
    </xf>
    <xf numFmtId="0" fontId="10" fillId="2" borderId="0" xfId="0" applyFont="1" applyFill="1" applyBorder="1" applyAlignment="1" applyProtection="1">
      <alignment horizontal="right"/>
    </xf>
    <xf numFmtId="14" fontId="30" fillId="8" borderId="5" xfId="4" applyNumberFormat="1" applyFont="1" applyFill="1" applyBorder="1" applyAlignment="1" applyProtection="1">
      <alignment horizontal="center" vertical="center"/>
    </xf>
    <xf numFmtId="0" fontId="18" fillId="2" borderId="0" xfId="0" applyFont="1" applyFill="1" applyBorder="1" applyAlignment="1" applyProtection="1">
      <alignment horizontal="center"/>
    </xf>
    <xf numFmtId="0" fontId="18" fillId="2" borderId="0" xfId="0" applyFont="1" applyFill="1" applyBorder="1" applyAlignment="1" applyProtection="1">
      <alignment horizontal="left"/>
    </xf>
    <xf numFmtId="1" fontId="31" fillId="2" borderId="0" xfId="0" applyNumberFormat="1" applyFont="1" applyFill="1" applyBorder="1" applyProtection="1"/>
    <xf numFmtId="0" fontId="33" fillId="2" borderId="0" xfId="0" applyFont="1" applyFill="1" applyProtection="1"/>
    <xf numFmtId="0" fontId="18" fillId="2" borderId="0" xfId="0" applyFont="1" applyFill="1" applyAlignment="1" applyProtection="1">
      <alignment horizontal="center"/>
    </xf>
    <xf numFmtId="0" fontId="19" fillId="2" borderId="0" xfId="0" applyFont="1" applyFill="1" applyBorder="1" applyAlignment="1" applyProtection="1">
      <alignment horizontal="right"/>
    </xf>
    <xf numFmtId="3" fontId="4" fillId="2" borderId="0" xfId="0" applyNumberFormat="1" applyFont="1" applyFill="1" applyProtection="1"/>
    <xf numFmtId="1" fontId="3" fillId="2" borderId="105" xfId="0" applyNumberFormat="1" applyFont="1" applyFill="1" applyBorder="1" applyProtection="1"/>
    <xf numFmtId="0" fontId="3" fillId="2" borderId="0" xfId="0" applyFont="1" applyFill="1" applyBorder="1" applyAlignment="1" applyProtection="1">
      <alignment horizontal="left"/>
    </xf>
    <xf numFmtId="1" fontId="19" fillId="2" borderId="0" xfId="0" applyNumberFormat="1" applyFont="1" applyFill="1" applyBorder="1" applyAlignment="1" applyProtection="1">
      <alignment horizontal="right"/>
    </xf>
    <xf numFmtId="3" fontId="4" fillId="2" borderId="105" xfId="0" applyNumberFormat="1" applyFont="1" applyFill="1" applyBorder="1" applyProtection="1"/>
    <xf numFmtId="0" fontId="4" fillId="2" borderId="105" xfId="0" applyFont="1" applyFill="1" applyBorder="1" applyProtection="1"/>
    <xf numFmtId="166" fontId="6" fillId="2" borderId="0" xfId="0" quotePrefix="1" applyNumberFormat="1" applyFont="1" applyFill="1" applyBorder="1" applyAlignment="1" applyProtection="1">
      <alignment horizontal="left"/>
    </xf>
    <xf numFmtId="3" fontId="3" fillId="2" borderId="0" xfId="0" applyNumberFormat="1" applyFont="1" applyFill="1" applyBorder="1" applyProtection="1"/>
    <xf numFmtId="0" fontId="19" fillId="2" borderId="0" xfId="0" quotePrefix="1" applyFont="1" applyFill="1" applyBorder="1" applyAlignment="1" applyProtection="1">
      <alignment horizontal="left"/>
    </xf>
    <xf numFmtId="0" fontId="2" fillId="3" borderId="0" xfId="0" applyFont="1" applyFill="1" applyProtection="1"/>
    <xf numFmtId="0" fontId="4" fillId="3" borderId="0" xfId="0" applyFont="1" applyFill="1" applyProtection="1"/>
    <xf numFmtId="3" fontId="34" fillId="2" borderId="107" xfId="0" applyNumberFormat="1" applyFont="1" applyFill="1" applyBorder="1" applyAlignment="1" applyProtection="1">
      <alignment horizontal="center" vertical="center"/>
    </xf>
    <xf numFmtId="1" fontId="13" fillId="5" borderId="6" xfId="2" applyNumberFormat="1" applyFont="1" applyFill="1" applyBorder="1" applyAlignment="1" applyProtection="1">
      <alignment horizontal="center" vertical="center"/>
    </xf>
    <xf numFmtId="1" fontId="13" fillId="5" borderId="7" xfId="2" applyNumberFormat="1" applyFont="1" applyFill="1" applyBorder="1" applyAlignment="1" applyProtection="1">
      <alignment horizontal="center" vertical="center"/>
    </xf>
    <xf numFmtId="0" fontId="12" fillId="2" borderId="8" xfId="2" applyFont="1" applyFill="1" applyBorder="1" applyAlignment="1" applyProtection="1">
      <alignment horizontal="right" vertical="top" wrapText="1"/>
    </xf>
    <xf numFmtId="0" fontId="12" fillId="2" borderId="0" xfId="2" applyFont="1" applyFill="1" applyAlignment="1" applyProtection="1">
      <alignment horizontal="right" vertical="top" wrapText="1"/>
    </xf>
    <xf numFmtId="0" fontId="17" fillId="7" borderId="14" xfId="2" applyFont="1" applyFill="1" applyBorder="1" applyAlignment="1" applyProtection="1">
      <alignment horizontal="center" vertical="center" wrapText="1"/>
    </xf>
    <xf numFmtId="0" fontId="17" fillId="7" borderId="18" xfId="2" applyFont="1" applyFill="1" applyBorder="1" applyAlignment="1" applyProtection="1">
      <alignment horizontal="center" vertical="center" wrapText="1"/>
    </xf>
    <xf numFmtId="0" fontId="11" fillId="7" borderId="14" xfId="0" applyFont="1" applyFill="1" applyBorder="1" applyAlignment="1" applyProtection="1">
      <alignment horizontal="center" vertical="center" wrapText="1"/>
    </xf>
    <xf numFmtId="0" fontId="11" fillId="7" borderId="18" xfId="0" applyFont="1" applyFill="1" applyBorder="1" applyAlignment="1" applyProtection="1">
      <alignment horizontal="center" vertical="center" wrapText="1"/>
    </xf>
    <xf numFmtId="0" fontId="32" fillId="2" borderId="8" xfId="2" applyFont="1" applyFill="1" applyBorder="1" applyAlignment="1" applyProtection="1">
      <alignment horizontal="center" vertical="center"/>
    </xf>
  </cellXfs>
  <cellStyles count="5">
    <cellStyle name="Normal 2" xfId="2"/>
    <cellStyle name="Normal_B3_2013" xfId="3"/>
    <cellStyle name="Normal_BIN 7301,7311 and 6301" xfId="4"/>
    <cellStyle name="Запетая" xfId="1" builtinId="3"/>
    <cellStyle name="Нормален" xfId="0" builtinId="0"/>
  </cellStyles>
  <dxfs count="252">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1_2023/11_RIOSV%20Plivdiv_B1_31012023_01_PR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10_2023/11_RIOSV%20Plivdiv_B1_31102023_01_PR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11_2023/11_RIOSV%20Plivdiv_B1_30112023_01_PR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12_2023/11_RIOSV%20Plivdiv_B1_31122023_01_PR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2_2023/11_RIOSV%20Plivdiv_B1_28022023_01_PR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3_2023/11_RIOSV%20Plivdiv_B1_31032023_01_PR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4_2023/11_RIOSV%20Plivdiv_B1_30042023_01_PR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5_2023/11_RIOSV%20Plivdiv_B1_31052023_01_PR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6_2023/11_RIOSV%20Plivdiv_B1_30062023_01_PR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7_2023/11_RIOSV%20Plivdiv_B1_31072023_01_PR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8_2023/11_RIOSV%20Plivdiv_B1_31082023_01_PR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3/m%2009_2023/11_RIOSV%20Plivdiv_B1_30092023_01_PR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 ПЛОВДИВ</v>
          </cell>
          <cell r="F9">
            <v>44957</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9850</v>
          </cell>
          <cell r="H90">
            <v>0</v>
          </cell>
          <cell r="I90">
            <v>0</v>
          </cell>
          <cell r="J90">
            <v>0</v>
          </cell>
        </row>
        <row r="94">
          <cell r="E94">
            <v>0</v>
          </cell>
          <cell r="G94">
            <v>0</v>
          </cell>
          <cell r="H94">
            <v>0</v>
          </cell>
          <cell r="I94">
            <v>0</v>
          </cell>
          <cell r="J94">
            <v>0</v>
          </cell>
        </row>
        <row r="106">
          <cell r="E106">
            <v>0</v>
          </cell>
          <cell r="G106">
            <v>754</v>
          </cell>
          <cell r="H106">
            <v>0</v>
          </cell>
          <cell r="I106">
            <v>0</v>
          </cell>
          <cell r="J106">
            <v>0</v>
          </cell>
        </row>
        <row r="110">
          <cell r="E110">
            <v>0</v>
          </cell>
          <cell r="G110">
            <v>320</v>
          </cell>
          <cell r="H110">
            <v>0</v>
          </cell>
          <cell r="I110">
            <v>0</v>
          </cell>
          <cell r="J110">
            <v>-200</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65699</v>
          </cell>
          <cell r="H187">
            <v>0</v>
          </cell>
          <cell r="I187">
            <v>0</v>
          </cell>
          <cell r="J187">
            <v>8480</v>
          </cell>
        </row>
        <row r="190">
          <cell r="E190">
            <v>0</v>
          </cell>
          <cell r="G190">
            <v>2087</v>
          </cell>
          <cell r="H190">
            <v>0</v>
          </cell>
          <cell r="I190">
            <v>0</v>
          </cell>
          <cell r="J190">
            <v>390</v>
          </cell>
        </row>
        <row r="196">
          <cell r="E196">
            <v>0</v>
          </cell>
          <cell r="G196">
            <v>0</v>
          </cell>
          <cell r="H196">
            <v>0</v>
          </cell>
          <cell r="I196">
            <v>0</v>
          </cell>
          <cell r="J196">
            <v>23340</v>
          </cell>
        </row>
        <row r="204">
          <cell r="E204">
            <v>0</v>
          </cell>
          <cell r="G204">
            <v>0</v>
          </cell>
          <cell r="H204">
            <v>0</v>
          </cell>
          <cell r="I204">
            <v>0</v>
          </cell>
          <cell r="J204">
            <v>0</v>
          </cell>
        </row>
        <row r="205">
          <cell r="E205">
            <v>0</v>
          </cell>
          <cell r="G205">
            <v>10205</v>
          </cell>
          <cell r="H205">
            <v>0</v>
          </cell>
          <cell r="I205">
            <v>456</v>
          </cell>
          <cell r="J205">
            <v>0</v>
          </cell>
        </row>
        <row r="223">
          <cell r="E223">
            <v>0</v>
          </cell>
          <cell r="G223">
            <v>0</v>
          </cell>
          <cell r="H223">
            <v>0</v>
          </cell>
          <cell r="I223">
            <v>592</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-6238</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79291</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32210</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-4686</v>
          </cell>
          <cell r="H524">
            <v>0</v>
          </cell>
          <cell r="I524">
            <v>0</v>
          </cell>
          <cell r="J524">
            <v>200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-252</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-1300</v>
          </cell>
          <cell r="H591">
            <v>0</v>
          </cell>
          <cell r="I591">
            <v>1300</v>
          </cell>
          <cell r="J591">
            <v>0</v>
          </cell>
        </row>
        <row r="594">
          <cell r="E594">
            <v>0</v>
          </cell>
          <cell r="G594">
            <v>0</v>
          </cell>
          <cell r="H594">
            <v>0</v>
          </cell>
          <cell r="I594">
            <v>0</v>
          </cell>
          <cell r="J594">
            <v>0</v>
          </cell>
        </row>
        <row r="605">
          <cell r="B605" t="str">
            <v>31.01.2023 г.</v>
          </cell>
        </row>
      </sheetData>
      <sheetData sheetId="4"/>
      <sheetData sheetId="5">
        <row r="2">
          <cell r="A2">
            <v>0</v>
          </cell>
          <cell r="B2" t="str">
            <v>ОТЧЕТНИ ДАННИ ПО ЕБК ЗА ИЗПЪЛНЕНИЕТО НА БЮДЖЕТА</v>
          </cell>
          <cell r="C2" t="str">
            <v xml:space="preserve">                                  ОТЧЕТ ЗА КАСОВОТО ИЗПЪЛНЕНИЕ НА БЮДЖЕТА</v>
          </cell>
        </row>
        <row r="3">
          <cell r="A3">
            <v>33</v>
          </cell>
          <cell r="B3" t="str">
            <v>ОТЧЕТНИ ДАННИ ПО ЕБК ЗА СМЕТКИТЕ ЗА ЧУЖДИ СРЕДСТВА</v>
          </cell>
          <cell r="C3" t="str">
            <v xml:space="preserve">                   ОТЧЕТ ЗА КАСОВОТО ИЗПЪЛНЕНИЕ НА СМЕТКИТЕ ЗА ЧУЖДИ СРЕДСТВА</v>
          </cell>
        </row>
        <row r="4">
          <cell r="A4">
            <v>42</v>
          </cell>
          <cell r="B4" t="str">
            <v>ОТЧЕТНИ ДАННИ ПО ЕБК ЗА СМЕТКИТЕ ЗА СРЕДСТВАТА ОТ ЕВРОПЕЙСКИЯ СЪЮЗ - РА</v>
          </cell>
          <cell r="C4" t="str">
            <v>ОТЧЕТ ЗА КАСОВОТО ИЗПЪЛНЕНИЕ НА СМЕТКИТЕ ЗА СРЕДСТВАТА ОТ ЕВРОПЕЙСКИЯ СЪЮЗ - РА</v>
          </cell>
        </row>
        <row r="5">
          <cell r="A5">
            <v>96</v>
          </cell>
          <cell r="B5" t="str">
            <v>ОТЧЕТНИ ДАННИ ПО ЕБК ЗА СМЕТКИТЕ ЗА СРЕДСТВАТА ОТ ЕВРОПЕЙСКИЯ СЪЮЗ - ДЕС</v>
          </cell>
          <cell r="C5" t="str">
            <v>ОТЧЕТ ЗА КАСОВОТО ИЗПЪЛНЕНИЕ НА СМЕТКИТЕ ЗА СРЕДСТВАТА ОТ ЕВРОПЕЙСКИЯ СЪЮЗ - ДЕС</v>
          </cell>
        </row>
        <row r="6">
          <cell r="A6">
            <v>97</v>
          </cell>
          <cell r="B6" t="str">
            <v>ОТЧЕТНИ ДАННИ ПО ЕБК ЗА СМЕТКИТЕ ЗА СРЕДСТВАТА ОТ ЕВРОПЕЙСКИЯ СЪЮЗ - ДМП</v>
          </cell>
          <cell r="C6" t="str">
            <v>ОТЧЕТ ЗА КАСОВОТО ИЗПЪЛНЕНИЕ НА СМЕТКИТЕ ЗА СРЕДСТВАТА ОТ ЕВРОПЕЙСКИЯ СЪЮЗ - ДМП</v>
          </cell>
        </row>
        <row r="7">
          <cell r="A7">
            <v>98</v>
          </cell>
          <cell r="B7" t="str">
            <v>ОТЧЕТНИ ДАННИ ПО ЕБК ЗА СМЕТКИТЕ ЗА СРЕДСТВАТА ОТ ЕВРОПЕЙСКИЯ СЪЮЗ - КСФ</v>
          </cell>
          <cell r="C7" t="str">
            <v>ОТЧЕТ ЗА КАСОВОТО ИЗПЪЛНЕНИЕ НА СМЕТКИТЕ ЗА СРЕДСТВАТА ОТ ЕВРОПЕЙСКИЯ СЪЮЗ - КСФ</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 ПЛОВДИВ</v>
          </cell>
          <cell r="F9">
            <v>45230</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128237</v>
          </cell>
          <cell r="H90">
            <v>0</v>
          </cell>
          <cell r="I90">
            <v>0</v>
          </cell>
          <cell r="J90">
            <v>0</v>
          </cell>
        </row>
        <row r="94">
          <cell r="E94">
            <v>0</v>
          </cell>
          <cell r="G94">
            <v>0</v>
          </cell>
          <cell r="H94">
            <v>0</v>
          </cell>
          <cell r="I94">
            <v>0</v>
          </cell>
          <cell r="J94">
            <v>0</v>
          </cell>
        </row>
        <row r="106">
          <cell r="E106">
            <v>30000</v>
          </cell>
          <cell r="G106">
            <v>10089</v>
          </cell>
          <cell r="H106">
            <v>0</v>
          </cell>
          <cell r="I106">
            <v>0</v>
          </cell>
          <cell r="J106">
            <v>1847</v>
          </cell>
        </row>
        <row r="110">
          <cell r="E110">
            <v>0</v>
          </cell>
          <cell r="G110">
            <v>1982</v>
          </cell>
          <cell r="H110">
            <v>0</v>
          </cell>
          <cell r="I110">
            <v>0</v>
          </cell>
          <cell r="J110">
            <v>-22247</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741733</v>
          </cell>
          <cell r="G187">
            <v>593120</v>
          </cell>
          <cell r="H187">
            <v>0</v>
          </cell>
          <cell r="I187">
            <v>0</v>
          </cell>
          <cell r="J187">
            <v>76306</v>
          </cell>
        </row>
        <row r="190">
          <cell r="E190">
            <v>63748</v>
          </cell>
          <cell r="G190">
            <v>55874</v>
          </cell>
          <cell r="H190">
            <v>0</v>
          </cell>
          <cell r="I190">
            <v>0</v>
          </cell>
          <cell r="J190">
            <v>3593</v>
          </cell>
        </row>
        <row r="196">
          <cell r="E196">
            <v>234911</v>
          </cell>
          <cell r="G196">
            <v>0</v>
          </cell>
          <cell r="H196">
            <v>0</v>
          </cell>
          <cell r="I196">
            <v>0</v>
          </cell>
          <cell r="J196">
            <v>210963</v>
          </cell>
        </row>
        <row r="204">
          <cell r="E204">
            <v>0</v>
          </cell>
          <cell r="G204">
            <v>0</v>
          </cell>
          <cell r="H204">
            <v>0</v>
          </cell>
          <cell r="I204">
            <v>0</v>
          </cell>
          <cell r="J204">
            <v>0</v>
          </cell>
        </row>
        <row r="205">
          <cell r="E205">
            <v>181437</v>
          </cell>
          <cell r="G205">
            <v>119550</v>
          </cell>
          <cell r="H205">
            <v>0</v>
          </cell>
          <cell r="I205">
            <v>3102</v>
          </cell>
          <cell r="J205">
            <v>0</v>
          </cell>
        </row>
        <row r="223">
          <cell r="E223">
            <v>3500</v>
          </cell>
          <cell r="G223">
            <v>1910</v>
          </cell>
          <cell r="H223">
            <v>0</v>
          </cell>
          <cell r="I223">
            <v>679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4600</v>
          </cell>
          <cell r="G276">
            <v>4268</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1059929</v>
          </cell>
          <cell r="G391">
            <v>-126675</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778922</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290862</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-13633</v>
          </cell>
          <cell r="H524">
            <v>0</v>
          </cell>
          <cell r="I524">
            <v>0</v>
          </cell>
          <cell r="J524">
            <v>20400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-419</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-4200</v>
          </cell>
          <cell r="H591">
            <v>0</v>
          </cell>
          <cell r="I591">
            <v>4200</v>
          </cell>
          <cell r="J591">
            <v>0</v>
          </cell>
        </row>
        <row r="594">
          <cell r="E594">
            <v>0</v>
          </cell>
          <cell r="G594">
            <v>0</v>
          </cell>
          <cell r="H594">
            <v>0</v>
          </cell>
          <cell r="I594">
            <v>0</v>
          </cell>
          <cell r="J594">
            <v>0</v>
          </cell>
        </row>
        <row r="605">
          <cell r="B605" t="str">
            <v>31.10.2023 г.</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 ПЛОВДИВ</v>
          </cell>
          <cell r="F9">
            <v>45260</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137946</v>
          </cell>
          <cell r="H90">
            <v>0</v>
          </cell>
          <cell r="I90">
            <v>0</v>
          </cell>
          <cell r="J90">
            <v>0</v>
          </cell>
        </row>
        <row r="94">
          <cell r="E94">
            <v>0</v>
          </cell>
          <cell r="G94">
            <v>0</v>
          </cell>
          <cell r="H94">
            <v>0</v>
          </cell>
          <cell r="I94">
            <v>0</v>
          </cell>
          <cell r="J94">
            <v>0</v>
          </cell>
        </row>
        <row r="106">
          <cell r="E106">
            <v>30000</v>
          </cell>
          <cell r="G106">
            <v>10512</v>
          </cell>
          <cell r="H106">
            <v>0</v>
          </cell>
          <cell r="I106">
            <v>0</v>
          </cell>
          <cell r="J106">
            <v>1847</v>
          </cell>
        </row>
        <row r="110">
          <cell r="E110">
            <v>0</v>
          </cell>
          <cell r="G110">
            <v>2142</v>
          </cell>
          <cell r="H110">
            <v>0</v>
          </cell>
          <cell r="I110">
            <v>0</v>
          </cell>
          <cell r="J110">
            <v>-22247</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790460</v>
          </cell>
          <cell r="G187">
            <v>643262</v>
          </cell>
          <cell r="H187">
            <v>0</v>
          </cell>
          <cell r="I187">
            <v>0</v>
          </cell>
          <cell r="J187">
            <v>82805</v>
          </cell>
        </row>
        <row r="190">
          <cell r="E190">
            <v>63748</v>
          </cell>
          <cell r="G190">
            <v>57261</v>
          </cell>
          <cell r="H190">
            <v>0</v>
          </cell>
          <cell r="I190">
            <v>0</v>
          </cell>
          <cell r="J190">
            <v>3681</v>
          </cell>
        </row>
        <row r="196">
          <cell r="E196">
            <v>250123</v>
          </cell>
          <cell r="G196">
            <v>0</v>
          </cell>
          <cell r="H196">
            <v>0</v>
          </cell>
          <cell r="I196">
            <v>0</v>
          </cell>
          <cell r="J196">
            <v>228921</v>
          </cell>
        </row>
        <row r="204">
          <cell r="E204">
            <v>0</v>
          </cell>
          <cell r="G204">
            <v>0</v>
          </cell>
          <cell r="H204">
            <v>0</v>
          </cell>
          <cell r="I204">
            <v>0</v>
          </cell>
          <cell r="J204">
            <v>0</v>
          </cell>
        </row>
        <row r="205">
          <cell r="E205">
            <v>181437</v>
          </cell>
          <cell r="G205">
            <v>148368</v>
          </cell>
          <cell r="H205">
            <v>0</v>
          </cell>
          <cell r="I205">
            <v>3462</v>
          </cell>
          <cell r="J205">
            <v>0</v>
          </cell>
        </row>
        <row r="223">
          <cell r="E223">
            <v>3500</v>
          </cell>
          <cell r="G223">
            <v>1910</v>
          </cell>
          <cell r="H223">
            <v>0</v>
          </cell>
          <cell r="I223">
            <v>702</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4600</v>
          </cell>
          <cell r="G276">
            <v>4268</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1123868</v>
          </cell>
          <cell r="G391">
            <v>-138986</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859869</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315407</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-11614</v>
          </cell>
          <cell r="H524">
            <v>0</v>
          </cell>
          <cell r="I524">
            <v>0</v>
          </cell>
          <cell r="J524">
            <v>20400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-636</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-4800</v>
          </cell>
          <cell r="H591">
            <v>0</v>
          </cell>
          <cell r="I591">
            <v>4800</v>
          </cell>
          <cell r="J591">
            <v>0</v>
          </cell>
        </row>
        <row r="594">
          <cell r="E594">
            <v>0</v>
          </cell>
          <cell r="G594">
            <v>0</v>
          </cell>
          <cell r="H594">
            <v>0</v>
          </cell>
          <cell r="I594">
            <v>0</v>
          </cell>
          <cell r="J594">
            <v>0</v>
          </cell>
        </row>
        <row r="605">
          <cell r="B605" t="str">
            <v>30.11.2023 г.</v>
          </cell>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 ПЛОВДИВ</v>
          </cell>
          <cell r="F9">
            <v>45291</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148143</v>
          </cell>
          <cell r="H90">
            <v>0</v>
          </cell>
          <cell r="I90">
            <v>0</v>
          </cell>
          <cell r="J90">
            <v>0</v>
          </cell>
        </row>
        <row r="94">
          <cell r="E94">
            <v>0</v>
          </cell>
          <cell r="G94">
            <v>0</v>
          </cell>
          <cell r="H94">
            <v>0</v>
          </cell>
          <cell r="I94">
            <v>0</v>
          </cell>
          <cell r="J94">
            <v>0</v>
          </cell>
        </row>
        <row r="106">
          <cell r="E106">
            <v>30000</v>
          </cell>
          <cell r="G106">
            <v>10886</v>
          </cell>
          <cell r="H106">
            <v>0</v>
          </cell>
          <cell r="I106">
            <v>0</v>
          </cell>
          <cell r="J106">
            <v>1847</v>
          </cell>
        </row>
        <row r="110">
          <cell r="E110">
            <v>0</v>
          </cell>
          <cell r="G110">
            <v>2170</v>
          </cell>
          <cell r="H110">
            <v>0</v>
          </cell>
          <cell r="I110">
            <v>0</v>
          </cell>
          <cell r="J110">
            <v>-22647</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784998</v>
          </cell>
          <cell r="G187">
            <v>705976</v>
          </cell>
          <cell r="H187">
            <v>0</v>
          </cell>
          <cell r="I187">
            <v>0</v>
          </cell>
          <cell r="J187">
            <v>77286</v>
          </cell>
        </row>
        <row r="190">
          <cell r="E190">
            <v>63810</v>
          </cell>
          <cell r="G190">
            <v>59490</v>
          </cell>
          <cell r="H190">
            <v>0</v>
          </cell>
          <cell r="I190">
            <v>0</v>
          </cell>
          <cell r="J190">
            <v>4229</v>
          </cell>
        </row>
        <row r="196">
          <cell r="E196">
            <v>249323</v>
          </cell>
          <cell r="G196">
            <v>0</v>
          </cell>
          <cell r="H196">
            <v>0</v>
          </cell>
          <cell r="I196">
            <v>0</v>
          </cell>
          <cell r="J196">
            <v>247250</v>
          </cell>
        </row>
        <row r="204">
          <cell r="E204">
            <v>0</v>
          </cell>
          <cell r="G204">
            <v>0</v>
          </cell>
          <cell r="H204">
            <v>0</v>
          </cell>
          <cell r="I204">
            <v>0</v>
          </cell>
          <cell r="J204">
            <v>0</v>
          </cell>
        </row>
        <row r="205">
          <cell r="E205">
            <v>182631</v>
          </cell>
          <cell r="G205">
            <v>178249</v>
          </cell>
          <cell r="H205">
            <v>0</v>
          </cell>
          <cell r="I205">
            <v>4284</v>
          </cell>
          <cell r="J205">
            <v>0</v>
          </cell>
        </row>
        <row r="223">
          <cell r="E223">
            <v>2787</v>
          </cell>
          <cell r="G223">
            <v>2085</v>
          </cell>
          <cell r="H223">
            <v>0</v>
          </cell>
          <cell r="I223">
            <v>702</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4600</v>
          </cell>
          <cell r="G276">
            <v>4268</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1118149</v>
          </cell>
          <cell r="G391">
            <v>-123136</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955068</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328765</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-38077</v>
          </cell>
          <cell r="H524">
            <v>0</v>
          </cell>
          <cell r="I524">
            <v>0</v>
          </cell>
          <cell r="J524">
            <v>20800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0</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-4986</v>
          </cell>
          <cell r="H591">
            <v>0</v>
          </cell>
          <cell r="I591">
            <v>4986</v>
          </cell>
          <cell r="J591">
            <v>0</v>
          </cell>
        </row>
        <row r="594">
          <cell r="E594">
            <v>0</v>
          </cell>
          <cell r="G594">
            <v>0</v>
          </cell>
          <cell r="H594">
            <v>0</v>
          </cell>
          <cell r="I594">
            <v>0</v>
          </cell>
          <cell r="J594">
            <v>0</v>
          </cell>
        </row>
        <row r="605">
          <cell r="B605" t="str">
            <v>31.12.2023 г.</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 ПЛОВДИВ</v>
          </cell>
          <cell r="F9">
            <v>44985</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25266</v>
          </cell>
          <cell r="H90">
            <v>0</v>
          </cell>
          <cell r="I90">
            <v>0</v>
          </cell>
          <cell r="J90">
            <v>0</v>
          </cell>
        </row>
        <row r="94">
          <cell r="E94">
            <v>0</v>
          </cell>
          <cell r="G94">
            <v>0</v>
          </cell>
          <cell r="H94">
            <v>0</v>
          </cell>
          <cell r="I94">
            <v>0</v>
          </cell>
          <cell r="J94">
            <v>0</v>
          </cell>
        </row>
        <row r="106">
          <cell r="E106">
            <v>0</v>
          </cell>
          <cell r="G106">
            <v>3889</v>
          </cell>
          <cell r="H106">
            <v>0</v>
          </cell>
          <cell r="I106">
            <v>0</v>
          </cell>
          <cell r="J106">
            <v>0</v>
          </cell>
        </row>
        <row r="110">
          <cell r="E110">
            <v>0</v>
          </cell>
          <cell r="G110">
            <v>400</v>
          </cell>
          <cell r="H110">
            <v>0</v>
          </cell>
          <cell r="I110">
            <v>0</v>
          </cell>
          <cell r="J110">
            <v>-400</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109422</v>
          </cell>
          <cell r="H187">
            <v>0</v>
          </cell>
          <cell r="I187">
            <v>0</v>
          </cell>
          <cell r="J187">
            <v>15237</v>
          </cell>
        </row>
        <row r="190">
          <cell r="E190">
            <v>0</v>
          </cell>
          <cell r="G190">
            <v>32546</v>
          </cell>
          <cell r="H190">
            <v>0</v>
          </cell>
          <cell r="I190">
            <v>0</v>
          </cell>
          <cell r="J190">
            <v>740</v>
          </cell>
        </row>
        <row r="196">
          <cell r="E196">
            <v>0</v>
          </cell>
          <cell r="G196">
            <v>0</v>
          </cell>
          <cell r="H196">
            <v>0</v>
          </cell>
          <cell r="I196">
            <v>0</v>
          </cell>
          <cell r="J196">
            <v>40029</v>
          </cell>
        </row>
        <row r="204">
          <cell r="E204">
            <v>0</v>
          </cell>
          <cell r="G204">
            <v>0</v>
          </cell>
          <cell r="H204">
            <v>0</v>
          </cell>
          <cell r="I204">
            <v>0</v>
          </cell>
          <cell r="J204">
            <v>0</v>
          </cell>
        </row>
        <row r="205">
          <cell r="E205">
            <v>0</v>
          </cell>
          <cell r="G205">
            <v>14820</v>
          </cell>
          <cell r="H205">
            <v>0</v>
          </cell>
          <cell r="I205">
            <v>522</v>
          </cell>
          <cell r="J205">
            <v>0</v>
          </cell>
        </row>
        <row r="223">
          <cell r="E223">
            <v>0</v>
          </cell>
          <cell r="G223">
            <v>2328</v>
          </cell>
          <cell r="H223">
            <v>0</v>
          </cell>
          <cell r="I223">
            <v>679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-39305</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160588</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56006</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9578</v>
          </cell>
          <cell r="H524">
            <v>0</v>
          </cell>
          <cell r="I524">
            <v>0</v>
          </cell>
          <cell r="J524">
            <v>400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-99</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-1300</v>
          </cell>
          <cell r="H591">
            <v>0</v>
          </cell>
          <cell r="I591">
            <v>1300</v>
          </cell>
          <cell r="J591">
            <v>0</v>
          </cell>
        </row>
        <row r="594">
          <cell r="E594">
            <v>0</v>
          </cell>
          <cell r="G594">
            <v>0</v>
          </cell>
          <cell r="H594">
            <v>0</v>
          </cell>
          <cell r="I594">
            <v>0</v>
          </cell>
          <cell r="J594">
            <v>0</v>
          </cell>
        </row>
        <row r="605">
          <cell r="B605" t="str">
            <v>28.02.2023 г.</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 ПЛОВДИВ</v>
          </cell>
          <cell r="F9">
            <v>45016</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40224</v>
          </cell>
          <cell r="H90">
            <v>0</v>
          </cell>
          <cell r="I90">
            <v>0</v>
          </cell>
          <cell r="J90">
            <v>0</v>
          </cell>
        </row>
        <row r="94">
          <cell r="E94">
            <v>0</v>
          </cell>
          <cell r="G94">
            <v>0</v>
          </cell>
          <cell r="H94">
            <v>0</v>
          </cell>
          <cell r="I94">
            <v>0</v>
          </cell>
          <cell r="J94">
            <v>0</v>
          </cell>
        </row>
        <row r="106">
          <cell r="E106">
            <v>0</v>
          </cell>
          <cell r="G106">
            <v>4543</v>
          </cell>
          <cell r="H106">
            <v>0</v>
          </cell>
          <cell r="I106">
            <v>0</v>
          </cell>
          <cell r="J106">
            <v>0</v>
          </cell>
        </row>
        <row r="110">
          <cell r="E110">
            <v>0</v>
          </cell>
          <cell r="G110">
            <v>560</v>
          </cell>
          <cell r="H110">
            <v>0</v>
          </cell>
          <cell r="I110">
            <v>0</v>
          </cell>
          <cell r="J110">
            <v>-600</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157233</v>
          </cell>
          <cell r="H187">
            <v>0</v>
          </cell>
          <cell r="I187">
            <v>0</v>
          </cell>
          <cell r="J187">
            <v>20378</v>
          </cell>
        </row>
        <row r="190">
          <cell r="E190">
            <v>0</v>
          </cell>
          <cell r="G190">
            <v>34194</v>
          </cell>
          <cell r="H190">
            <v>0</v>
          </cell>
          <cell r="I190">
            <v>0</v>
          </cell>
          <cell r="J190">
            <v>1891</v>
          </cell>
        </row>
        <row r="196">
          <cell r="E196">
            <v>0</v>
          </cell>
          <cell r="G196">
            <v>0</v>
          </cell>
          <cell r="H196">
            <v>0</v>
          </cell>
          <cell r="I196">
            <v>0</v>
          </cell>
          <cell r="J196">
            <v>57111</v>
          </cell>
        </row>
        <row r="204">
          <cell r="E204">
            <v>0</v>
          </cell>
          <cell r="G204">
            <v>0</v>
          </cell>
          <cell r="H204">
            <v>0</v>
          </cell>
          <cell r="I204">
            <v>0</v>
          </cell>
          <cell r="J204">
            <v>0</v>
          </cell>
        </row>
        <row r="205">
          <cell r="E205">
            <v>0</v>
          </cell>
          <cell r="G205">
            <v>25247</v>
          </cell>
          <cell r="H205">
            <v>0</v>
          </cell>
          <cell r="I205">
            <v>699</v>
          </cell>
          <cell r="J205">
            <v>0</v>
          </cell>
        </row>
        <row r="223">
          <cell r="E223">
            <v>0</v>
          </cell>
          <cell r="G223">
            <v>1910</v>
          </cell>
          <cell r="H223">
            <v>0</v>
          </cell>
          <cell r="I223">
            <v>679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-40199</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220803</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79380</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-5547</v>
          </cell>
          <cell r="H524">
            <v>0</v>
          </cell>
          <cell r="I524">
            <v>0</v>
          </cell>
          <cell r="J524">
            <v>600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-422</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-1800</v>
          </cell>
          <cell r="H591">
            <v>0</v>
          </cell>
          <cell r="I591">
            <v>1800</v>
          </cell>
          <cell r="J591">
            <v>0</v>
          </cell>
        </row>
        <row r="594">
          <cell r="E594">
            <v>0</v>
          </cell>
          <cell r="G594">
            <v>0</v>
          </cell>
          <cell r="H594">
            <v>0</v>
          </cell>
          <cell r="I594">
            <v>0</v>
          </cell>
          <cell r="J594">
            <v>0</v>
          </cell>
        </row>
        <row r="605">
          <cell r="B605" t="str">
            <v>31.03.2023 г.</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 ПЛОВДИВ</v>
          </cell>
          <cell r="F9">
            <v>45046</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49784</v>
          </cell>
          <cell r="H90">
            <v>0</v>
          </cell>
          <cell r="I90">
            <v>0</v>
          </cell>
          <cell r="J90">
            <v>0</v>
          </cell>
        </row>
        <row r="94">
          <cell r="E94">
            <v>0</v>
          </cell>
          <cell r="G94">
            <v>0</v>
          </cell>
          <cell r="H94">
            <v>0</v>
          </cell>
          <cell r="I94">
            <v>0</v>
          </cell>
          <cell r="J94">
            <v>0</v>
          </cell>
        </row>
        <row r="106">
          <cell r="E106">
            <v>0</v>
          </cell>
          <cell r="G106">
            <v>4685</v>
          </cell>
          <cell r="H106">
            <v>0</v>
          </cell>
          <cell r="I106">
            <v>0</v>
          </cell>
          <cell r="J106">
            <v>0</v>
          </cell>
        </row>
        <row r="110">
          <cell r="E110">
            <v>0</v>
          </cell>
          <cell r="G110">
            <v>880</v>
          </cell>
          <cell r="H110">
            <v>0</v>
          </cell>
          <cell r="I110">
            <v>0</v>
          </cell>
          <cell r="J110">
            <v>-800</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229691</v>
          </cell>
          <cell r="H187">
            <v>0</v>
          </cell>
          <cell r="I187">
            <v>0</v>
          </cell>
          <cell r="J187">
            <v>29807</v>
          </cell>
        </row>
        <row r="190">
          <cell r="E190">
            <v>0</v>
          </cell>
          <cell r="G190">
            <v>51523</v>
          </cell>
          <cell r="H190">
            <v>0</v>
          </cell>
          <cell r="I190">
            <v>0</v>
          </cell>
          <cell r="J190">
            <v>3516</v>
          </cell>
        </row>
        <row r="196">
          <cell r="E196">
            <v>0</v>
          </cell>
          <cell r="G196">
            <v>0</v>
          </cell>
          <cell r="H196">
            <v>0</v>
          </cell>
          <cell r="I196">
            <v>0</v>
          </cell>
          <cell r="J196">
            <v>83159</v>
          </cell>
        </row>
        <row r="204">
          <cell r="E204">
            <v>0</v>
          </cell>
          <cell r="G204">
            <v>0</v>
          </cell>
          <cell r="H204">
            <v>0</v>
          </cell>
          <cell r="I204">
            <v>0</v>
          </cell>
          <cell r="J204">
            <v>0</v>
          </cell>
        </row>
        <row r="205">
          <cell r="E205">
            <v>0</v>
          </cell>
          <cell r="G205">
            <v>33933</v>
          </cell>
          <cell r="H205">
            <v>0</v>
          </cell>
          <cell r="I205">
            <v>797</v>
          </cell>
          <cell r="J205">
            <v>0</v>
          </cell>
        </row>
        <row r="223">
          <cell r="E223">
            <v>0</v>
          </cell>
          <cell r="G223">
            <v>1910</v>
          </cell>
          <cell r="H223">
            <v>0</v>
          </cell>
          <cell r="I223">
            <v>679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-46025</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318857</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116482</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-9324</v>
          </cell>
          <cell r="H524">
            <v>0</v>
          </cell>
          <cell r="I524">
            <v>0</v>
          </cell>
          <cell r="J524">
            <v>800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-324</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-1800</v>
          </cell>
          <cell r="H591">
            <v>0</v>
          </cell>
          <cell r="I591">
            <v>1800</v>
          </cell>
          <cell r="J591">
            <v>0</v>
          </cell>
        </row>
        <row r="594">
          <cell r="E594">
            <v>0</v>
          </cell>
          <cell r="G594">
            <v>0</v>
          </cell>
          <cell r="H594">
            <v>0</v>
          </cell>
          <cell r="I594">
            <v>0</v>
          </cell>
          <cell r="J594">
            <v>0</v>
          </cell>
        </row>
        <row r="605">
          <cell r="B605" t="str">
            <v>30.04.2023 г.</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 ПЛОВДИВ</v>
          </cell>
          <cell r="F9">
            <v>45077</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62472</v>
          </cell>
          <cell r="H90">
            <v>0</v>
          </cell>
          <cell r="I90">
            <v>0</v>
          </cell>
          <cell r="J90">
            <v>0</v>
          </cell>
        </row>
        <row r="94">
          <cell r="E94">
            <v>0</v>
          </cell>
          <cell r="G94">
            <v>0</v>
          </cell>
          <cell r="H94">
            <v>0</v>
          </cell>
          <cell r="I94">
            <v>0</v>
          </cell>
          <cell r="J94">
            <v>0</v>
          </cell>
        </row>
        <row r="106">
          <cell r="E106">
            <v>0</v>
          </cell>
          <cell r="G106">
            <v>4834</v>
          </cell>
          <cell r="H106">
            <v>0</v>
          </cell>
          <cell r="I106">
            <v>0</v>
          </cell>
          <cell r="J106">
            <v>0</v>
          </cell>
        </row>
        <row r="110">
          <cell r="E110">
            <v>0</v>
          </cell>
          <cell r="G110">
            <v>880</v>
          </cell>
          <cell r="H110">
            <v>0</v>
          </cell>
          <cell r="I110">
            <v>0</v>
          </cell>
          <cell r="J110">
            <v>-800</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278270</v>
          </cell>
          <cell r="H187">
            <v>0</v>
          </cell>
          <cell r="I187">
            <v>0</v>
          </cell>
          <cell r="J187">
            <v>36140</v>
          </cell>
        </row>
        <row r="190">
          <cell r="E190">
            <v>0</v>
          </cell>
          <cell r="G190">
            <v>53479</v>
          </cell>
          <cell r="H190">
            <v>0</v>
          </cell>
          <cell r="I190">
            <v>0</v>
          </cell>
          <cell r="J190">
            <v>3516</v>
          </cell>
        </row>
        <row r="196">
          <cell r="E196">
            <v>0</v>
          </cell>
          <cell r="G196">
            <v>0</v>
          </cell>
          <cell r="H196">
            <v>0</v>
          </cell>
          <cell r="I196">
            <v>0</v>
          </cell>
          <cell r="J196">
            <v>100658</v>
          </cell>
        </row>
        <row r="204">
          <cell r="E204">
            <v>0</v>
          </cell>
          <cell r="G204">
            <v>0</v>
          </cell>
          <cell r="H204">
            <v>0</v>
          </cell>
          <cell r="I204">
            <v>0</v>
          </cell>
          <cell r="J204">
            <v>0</v>
          </cell>
        </row>
        <row r="205">
          <cell r="E205">
            <v>0</v>
          </cell>
          <cell r="G205">
            <v>45174</v>
          </cell>
          <cell r="H205">
            <v>0</v>
          </cell>
          <cell r="I205">
            <v>1051</v>
          </cell>
          <cell r="J205">
            <v>0</v>
          </cell>
        </row>
        <row r="223">
          <cell r="E223">
            <v>0</v>
          </cell>
          <cell r="G223">
            <v>1910</v>
          </cell>
          <cell r="H223">
            <v>0</v>
          </cell>
          <cell r="I223">
            <v>679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0</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-50660</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381133</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140314</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-17526</v>
          </cell>
          <cell r="H524">
            <v>0</v>
          </cell>
          <cell r="I524">
            <v>0</v>
          </cell>
          <cell r="J524">
            <v>800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-570</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-2300</v>
          </cell>
          <cell r="H591">
            <v>0</v>
          </cell>
          <cell r="I591">
            <v>2300</v>
          </cell>
          <cell r="J591">
            <v>0</v>
          </cell>
        </row>
        <row r="594">
          <cell r="E594">
            <v>0</v>
          </cell>
          <cell r="G594">
            <v>0</v>
          </cell>
          <cell r="H594">
            <v>0</v>
          </cell>
          <cell r="I594">
            <v>0</v>
          </cell>
          <cell r="J594">
            <v>0</v>
          </cell>
        </row>
        <row r="605">
          <cell r="B605" t="str">
            <v>31.05.2023 г.</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 ПЛОВДИВ</v>
          </cell>
          <cell r="F9">
            <v>45107</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72018</v>
          </cell>
          <cell r="H90">
            <v>0</v>
          </cell>
          <cell r="I90">
            <v>0</v>
          </cell>
          <cell r="J90">
            <v>0</v>
          </cell>
        </row>
        <row r="94">
          <cell r="E94">
            <v>0</v>
          </cell>
          <cell r="G94">
            <v>0</v>
          </cell>
          <cell r="H94">
            <v>0</v>
          </cell>
          <cell r="I94">
            <v>0</v>
          </cell>
          <cell r="J94">
            <v>0</v>
          </cell>
        </row>
        <row r="106">
          <cell r="E106">
            <v>0</v>
          </cell>
          <cell r="G106">
            <v>6718</v>
          </cell>
          <cell r="H106">
            <v>0</v>
          </cell>
          <cell r="I106">
            <v>0</v>
          </cell>
          <cell r="J106">
            <v>559</v>
          </cell>
        </row>
        <row r="110">
          <cell r="E110">
            <v>0</v>
          </cell>
          <cell r="G110">
            <v>1300</v>
          </cell>
          <cell r="H110">
            <v>0</v>
          </cell>
          <cell r="I110">
            <v>0</v>
          </cell>
          <cell r="J110">
            <v>-3059</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328139</v>
          </cell>
          <cell r="H187">
            <v>0</v>
          </cell>
          <cell r="I187">
            <v>0</v>
          </cell>
          <cell r="J187">
            <v>42594</v>
          </cell>
        </row>
        <row r="190">
          <cell r="E190">
            <v>0</v>
          </cell>
          <cell r="G190">
            <v>53589</v>
          </cell>
          <cell r="H190">
            <v>0</v>
          </cell>
          <cell r="I190">
            <v>0</v>
          </cell>
          <cell r="J190">
            <v>3516</v>
          </cell>
        </row>
        <row r="196">
          <cell r="E196">
            <v>0</v>
          </cell>
          <cell r="G196">
            <v>0</v>
          </cell>
          <cell r="H196">
            <v>0</v>
          </cell>
          <cell r="I196">
            <v>0</v>
          </cell>
          <cell r="J196">
            <v>118318</v>
          </cell>
        </row>
        <row r="204">
          <cell r="E204">
            <v>0</v>
          </cell>
          <cell r="G204">
            <v>0</v>
          </cell>
          <cell r="H204">
            <v>0</v>
          </cell>
          <cell r="I204">
            <v>0</v>
          </cell>
          <cell r="J204">
            <v>0</v>
          </cell>
        </row>
        <row r="205">
          <cell r="E205">
            <v>0</v>
          </cell>
          <cell r="G205">
            <v>56350</v>
          </cell>
          <cell r="H205">
            <v>0</v>
          </cell>
          <cell r="I205">
            <v>1292</v>
          </cell>
          <cell r="J205">
            <v>0</v>
          </cell>
        </row>
        <row r="223">
          <cell r="E223">
            <v>0</v>
          </cell>
          <cell r="G223">
            <v>1910</v>
          </cell>
          <cell r="H223">
            <v>0</v>
          </cell>
          <cell r="I223">
            <v>679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4268</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-89112</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446556</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164428</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9076</v>
          </cell>
          <cell r="H524">
            <v>0</v>
          </cell>
          <cell r="I524">
            <v>0</v>
          </cell>
          <cell r="J524">
            <v>2500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-329</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-2300</v>
          </cell>
          <cell r="H591">
            <v>0</v>
          </cell>
          <cell r="I591">
            <v>2300</v>
          </cell>
          <cell r="J591">
            <v>0</v>
          </cell>
        </row>
        <row r="594">
          <cell r="E594">
            <v>0</v>
          </cell>
          <cell r="G594">
            <v>0</v>
          </cell>
          <cell r="H594">
            <v>0</v>
          </cell>
          <cell r="I594">
            <v>0</v>
          </cell>
          <cell r="J594">
            <v>0</v>
          </cell>
        </row>
        <row r="605">
          <cell r="B605" t="str">
            <v>30.06.2023 г.</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 ПЛОВДИВ</v>
          </cell>
          <cell r="F9">
            <v>45138</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87849</v>
          </cell>
          <cell r="H90">
            <v>0</v>
          </cell>
          <cell r="I90">
            <v>0</v>
          </cell>
          <cell r="J90">
            <v>0</v>
          </cell>
        </row>
        <row r="94">
          <cell r="E94">
            <v>0</v>
          </cell>
          <cell r="G94">
            <v>0</v>
          </cell>
          <cell r="H94">
            <v>0</v>
          </cell>
          <cell r="I94">
            <v>0</v>
          </cell>
          <cell r="J94">
            <v>0</v>
          </cell>
        </row>
        <row r="106">
          <cell r="E106">
            <v>0</v>
          </cell>
          <cell r="G106">
            <v>6839</v>
          </cell>
          <cell r="H106">
            <v>0</v>
          </cell>
          <cell r="I106">
            <v>0</v>
          </cell>
          <cell r="J106">
            <v>559</v>
          </cell>
        </row>
        <row r="110">
          <cell r="E110">
            <v>0</v>
          </cell>
          <cell r="G110">
            <v>1460</v>
          </cell>
          <cell r="H110">
            <v>0</v>
          </cell>
          <cell r="I110">
            <v>0</v>
          </cell>
          <cell r="J110">
            <v>-3259</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400574</v>
          </cell>
          <cell r="H187">
            <v>0</v>
          </cell>
          <cell r="I187">
            <v>0</v>
          </cell>
          <cell r="J187">
            <v>51816</v>
          </cell>
        </row>
        <row r="190">
          <cell r="E190">
            <v>0</v>
          </cell>
          <cell r="G190">
            <v>54509</v>
          </cell>
          <cell r="H190">
            <v>0</v>
          </cell>
          <cell r="I190">
            <v>0</v>
          </cell>
          <cell r="J190">
            <v>3561</v>
          </cell>
        </row>
        <row r="196">
          <cell r="E196">
            <v>0</v>
          </cell>
          <cell r="G196">
            <v>0</v>
          </cell>
          <cell r="H196">
            <v>0</v>
          </cell>
          <cell r="I196">
            <v>0</v>
          </cell>
          <cell r="J196">
            <v>143615</v>
          </cell>
        </row>
        <row r="204">
          <cell r="E204">
            <v>0</v>
          </cell>
          <cell r="G204">
            <v>0</v>
          </cell>
          <cell r="H204">
            <v>0</v>
          </cell>
          <cell r="I204">
            <v>0</v>
          </cell>
          <cell r="J204">
            <v>0</v>
          </cell>
        </row>
        <row r="205">
          <cell r="E205">
            <v>0</v>
          </cell>
          <cell r="G205">
            <v>64061</v>
          </cell>
          <cell r="H205">
            <v>0</v>
          </cell>
          <cell r="I205">
            <v>1585</v>
          </cell>
          <cell r="J205">
            <v>0</v>
          </cell>
        </row>
        <row r="223">
          <cell r="E223">
            <v>0</v>
          </cell>
          <cell r="G223">
            <v>1910</v>
          </cell>
          <cell r="H223">
            <v>0</v>
          </cell>
          <cell r="I223">
            <v>679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0</v>
          </cell>
          <cell r="G276">
            <v>4268</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0</v>
          </cell>
          <cell r="G391">
            <v>-81209</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527622</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198992</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-14939</v>
          </cell>
          <cell r="H524">
            <v>0</v>
          </cell>
          <cell r="I524">
            <v>0</v>
          </cell>
          <cell r="J524">
            <v>2700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-36</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-2300</v>
          </cell>
          <cell r="H591">
            <v>0</v>
          </cell>
          <cell r="I591">
            <v>2300</v>
          </cell>
          <cell r="J591">
            <v>0</v>
          </cell>
        </row>
        <row r="594">
          <cell r="E594">
            <v>0</v>
          </cell>
          <cell r="G594">
            <v>0</v>
          </cell>
          <cell r="H594">
            <v>0</v>
          </cell>
          <cell r="I594">
            <v>0</v>
          </cell>
          <cell r="J594">
            <v>0</v>
          </cell>
        </row>
        <row r="605">
          <cell r="B605" t="str">
            <v>31.07.2023 г.</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 ПЛОВДИВ</v>
          </cell>
          <cell r="F9">
            <v>45169</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100166</v>
          </cell>
          <cell r="H90">
            <v>0</v>
          </cell>
          <cell r="I90">
            <v>0</v>
          </cell>
          <cell r="J90">
            <v>0</v>
          </cell>
        </row>
        <row r="94">
          <cell r="E94">
            <v>0</v>
          </cell>
          <cell r="G94">
            <v>0</v>
          </cell>
          <cell r="H94">
            <v>0</v>
          </cell>
          <cell r="I94">
            <v>0</v>
          </cell>
          <cell r="J94">
            <v>0</v>
          </cell>
        </row>
        <row r="106">
          <cell r="E106">
            <v>30000</v>
          </cell>
          <cell r="G106">
            <v>7346</v>
          </cell>
          <cell r="H106">
            <v>0</v>
          </cell>
          <cell r="I106">
            <v>0</v>
          </cell>
          <cell r="J106">
            <v>1835</v>
          </cell>
        </row>
        <row r="110">
          <cell r="E110">
            <v>0</v>
          </cell>
          <cell r="G110">
            <v>1822</v>
          </cell>
          <cell r="H110">
            <v>0</v>
          </cell>
          <cell r="I110">
            <v>0</v>
          </cell>
          <cell r="J110">
            <v>-21735</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734926</v>
          </cell>
          <cell r="G187">
            <v>449429</v>
          </cell>
          <cell r="H187">
            <v>0</v>
          </cell>
          <cell r="I187">
            <v>0</v>
          </cell>
          <cell r="J187">
            <v>58204</v>
          </cell>
        </row>
        <row r="190">
          <cell r="E190">
            <v>66242</v>
          </cell>
          <cell r="G190">
            <v>54854</v>
          </cell>
          <cell r="H190">
            <v>0</v>
          </cell>
          <cell r="I190">
            <v>0</v>
          </cell>
          <cell r="J190">
            <v>3561</v>
          </cell>
        </row>
        <row r="196">
          <cell r="E196">
            <v>234764</v>
          </cell>
          <cell r="G196">
            <v>0</v>
          </cell>
          <cell r="H196">
            <v>0</v>
          </cell>
          <cell r="I196">
            <v>0</v>
          </cell>
          <cell r="J196">
            <v>160990</v>
          </cell>
        </row>
        <row r="204">
          <cell r="E204">
            <v>0</v>
          </cell>
          <cell r="G204">
            <v>0</v>
          </cell>
          <cell r="H204">
            <v>0</v>
          </cell>
          <cell r="I204">
            <v>0</v>
          </cell>
          <cell r="J204">
            <v>0</v>
          </cell>
        </row>
        <row r="205">
          <cell r="E205">
            <v>156125</v>
          </cell>
          <cell r="G205">
            <v>97921</v>
          </cell>
          <cell r="H205">
            <v>0</v>
          </cell>
          <cell r="I205">
            <v>1665</v>
          </cell>
          <cell r="J205">
            <v>0</v>
          </cell>
        </row>
        <row r="223">
          <cell r="E223">
            <v>3500</v>
          </cell>
          <cell r="G223">
            <v>1910</v>
          </cell>
          <cell r="H223">
            <v>0</v>
          </cell>
          <cell r="I223">
            <v>679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4600</v>
          </cell>
          <cell r="G276">
            <v>4268</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1030157</v>
          </cell>
          <cell r="G391">
            <v>-101098</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611242</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222755</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-8296</v>
          </cell>
          <cell r="H524">
            <v>0</v>
          </cell>
          <cell r="I524">
            <v>0</v>
          </cell>
          <cell r="J524">
            <v>19900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-456</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-2800</v>
          </cell>
          <cell r="H591">
            <v>0</v>
          </cell>
          <cell r="I591">
            <v>2800</v>
          </cell>
          <cell r="J591">
            <v>0</v>
          </cell>
        </row>
        <row r="594">
          <cell r="E594">
            <v>0</v>
          </cell>
          <cell r="G594">
            <v>0</v>
          </cell>
          <cell r="H594">
            <v>0</v>
          </cell>
          <cell r="I594">
            <v>0</v>
          </cell>
          <cell r="J594">
            <v>0</v>
          </cell>
        </row>
        <row r="605">
          <cell r="B605" t="str">
            <v>31.08.2023 г.</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 ПЛОВДИВ</v>
          </cell>
          <cell r="F9">
            <v>45199</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111906</v>
          </cell>
          <cell r="H90">
            <v>0</v>
          </cell>
          <cell r="I90">
            <v>0</v>
          </cell>
          <cell r="J90">
            <v>0</v>
          </cell>
        </row>
        <row r="94">
          <cell r="E94">
            <v>0</v>
          </cell>
          <cell r="G94">
            <v>0</v>
          </cell>
          <cell r="H94">
            <v>0</v>
          </cell>
          <cell r="I94">
            <v>0</v>
          </cell>
          <cell r="J94">
            <v>0</v>
          </cell>
        </row>
        <row r="106">
          <cell r="E106">
            <v>30000</v>
          </cell>
          <cell r="G106">
            <v>7772</v>
          </cell>
          <cell r="H106">
            <v>0</v>
          </cell>
          <cell r="I106">
            <v>0</v>
          </cell>
          <cell r="J106">
            <v>1835</v>
          </cell>
        </row>
        <row r="110">
          <cell r="E110">
            <v>0</v>
          </cell>
          <cell r="G110">
            <v>1822</v>
          </cell>
          <cell r="H110">
            <v>0</v>
          </cell>
          <cell r="I110">
            <v>0</v>
          </cell>
          <cell r="J110">
            <v>-21735</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752848</v>
          </cell>
          <cell r="G187">
            <v>499910</v>
          </cell>
          <cell r="H187">
            <v>0</v>
          </cell>
          <cell r="I187">
            <v>0</v>
          </cell>
          <cell r="J187">
            <v>64755</v>
          </cell>
        </row>
        <row r="190">
          <cell r="E190">
            <v>66405</v>
          </cell>
          <cell r="G190">
            <v>55294</v>
          </cell>
          <cell r="H190">
            <v>0</v>
          </cell>
          <cell r="I190">
            <v>0</v>
          </cell>
          <cell r="J190">
            <v>3561</v>
          </cell>
        </row>
        <row r="196">
          <cell r="E196">
            <v>240751</v>
          </cell>
          <cell r="G196">
            <v>0</v>
          </cell>
          <cell r="H196">
            <v>0</v>
          </cell>
          <cell r="I196">
            <v>0</v>
          </cell>
          <cell r="J196">
            <v>178945</v>
          </cell>
        </row>
        <row r="204">
          <cell r="E204">
            <v>0</v>
          </cell>
          <cell r="G204">
            <v>0</v>
          </cell>
          <cell r="H204">
            <v>0</v>
          </cell>
          <cell r="I204">
            <v>0</v>
          </cell>
          <cell r="J204">
            <v>0</v>
          </cell>
        </row>
        <row r="205">
          <cell r="E205">
            <v>156125</v>
          </cell>
          <cell r="G205">
            <v>106417</v>
          </cell>
          <cell r="H205">
            <v>0</v>
          </cell>
          <cell r="I205">
            <v>1949</v>
          </cell>
          <cell r="J205">
            <v>0</v>
          </cell>
        </row>
        <row r="223">
          <cell r="E223">
            <v>3500</v>
          </cell>
          <cell r="G223">
            <v>1910</v>
          </cell>
          <cell r="H223">
            <v>0</v>
          </cell>
          <cell r="I223">
            <v>679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0">
          <cell r="E240">
            <v>0</v>
          </cell>
          <cell r="G240">
            <v>0</v>
          </cell>
          <cell r="H240">
            <v>0</v>
          </cell>
          <cell r="I240">
            <v>0</v>
          </cell>
          <cell r="J240">
            <v>0</v>
          </cell>
        </row>
        <row r="243">
          <cell r="E243">
            <v>0</v>
          </cell>
          <cell r="G243">
            <v>0</v>
          </cell>
          <cell r="H243">
            <v>0</v>
          </cell>
          <cell r="I243">
            <v>0</v>
          </cell>
          <cell r="J243">
            <v>0</v>
          </cell>
        </row>
        <row r="244">
          <cell r="E244">
            <v>0</v>
          </cell>
          <cell r="G244">
            <v>0</v>
          </cell>
          <cell r="H244">
            <v>0</v>
          </cell>
          <cell r="I244">
            <v>0</v>
          </cell>
          <cell r="J244">
            <v>0</v>
          </cell>
        </row>
        <row r="248">
          <cell r="E248">
            <v>0</v>
          </cell>
          <cell r="G248">
            <v>0</v>
          </cell>
          <cell r="H248">
            <v>0</v>
          </cell>
          <cell r="I248">
            <v>0</v>
          </cell>
          <cell r="J248">
            <v>0</v>
          </cell>
        </row>
        <row r="249">
          <cell r="E249">
            <v>0</v>
          </cell>
          <cell r="G249">
            <v>0</v>
          </cell>
          <cell r="H249">
            <v>0</v>
          </cell>
          <cell r="I249">
            <v>0</v>
          </cell>
          <cell r="J249">
            <v>0</v>
          </cell>
        </row>
        <row r="255">
          <cell r="E255">
            <v>0</v>
          </cell>
          <cell r="G255">
            <v>0</v>
          </cell>
          <cell r="H255">
            <v>0</v>
          </cell>
          <cell r="I255">
            <v>0</v>
          </cell>
          <cell r="J255">
            <v>0</v>
          </cell>
        </row>
        <row r="256">
          <cell r="E256">
            <v>0</v>
          </cell>
          <cell r="G256">
            <v>0</v>
          </cell>
          <cell r="H256">
            <v>0</v>
          </cell>
          <cell r="I256">
            <v>0</v>
          </cell>
          <cell r="J256">
            <v>0</v>
          </cell>
        </row>
        <row r="257">
          <cell r="E257">
            <v>0</v>
          </cell>
          <cell r="G257">
            <v>0</v>
          </cell>
          <cell r="H257">
            <v>0</v>
          </cell>
          <cell r="I257">
            <v>0</v>
          </cell>
          <cell r="J257">
            <v>0</v>
          </cell>
        </row>
        <row r="258">
          <cell r="E258">
            <v>0</v>
          </cell>
          <cell r="G258">
            <v>0</v>
          </cell>
          <cell r="H258">
            <v>0</v>
          </cell>
          <cell r="I258">
            <v>0</v>
          </cell>
          <cell r="J258">
            <v>0</v>
          </cell>
        </row>
        <row r="265">
          <cell r="E265">
            <v>0</v>
          </cell>
          <cell r="G265">
            <v>0</v>
          </cell>
          <cell r="H265">
            <v>0</v>
          </cell>
          <cell r="I265">
            <v>0</v>
          </cell>
          <cell r="J265">
            <v>0</v>
          </cell>
        </row>
        <row r="269">
          <cell r="E269">
            <v>0</v>
          </cell>
          <cell r="G269">
            <v>0</v>
          </cell>
          <cell r="H269">
            <v>0</v>
          </cell>
          <cell r="I269">
            <v>0</v>
          </cell>
          <cell r="J269">
            <v>0</v>
          </cell>
        </row>
        <row r="270">
          <cell r="E270">
            <v>0</v>
          </cell>
          <cell r="G270">
            <v>0</v>
          </cell>
          <cell r="H270">
            <v>0</v>
          </cell>
          <cell r="I270">
            <v>0</v>
          </cell>
          <cell r="J270">
            <v>0</v>
          </cell>
        </row>
        <row r="271">
          <cell r="E271">
            <v>0</v>
          </cell>
          <cell r="G271">
            <v>0</v>
          </cell>
          <cell r="H271">
            <v>0</v>
          </cell>
          <cell r="I271">
            <v>0</v>
          </cell>
          <cell r="J271">
            <v>0</v>
          </cell>
        </row>
        <row r="272">
          <cell r="E272">
            <v>0</v>
          </cell>
          <cell r="G272">
            <v>0</v>
          </cell>
          <cell r="H272">
            <v>0</v>
          </cell>
          <cell r="I272">
            <v>0</v>
          </cell>
          <cell r="J272">
            <v>0</v>
          </cell>
        </row>
        <row r="275">
          <cell r="E275">
            <v>0</v>
          </cell>
          <cell r="G275">
            <v>0</v>
          </cell>
          <cell r="H275">
            <v>0</v>
          </cell>
          <cell r="I275">
            <v>0</v>
          </cell>
          <cell r="J275">
            <v>0</v>
          </cell>
        </row>
        <row r="276">
          <cell r="E276">
            <v>4600</v>
          </cell>
          <cell r="G276">
            <v>4268</v>
          </cell>
          <cell r="H276">
            <v>0</v>
          </cell>
          <cell r="I276">
            <v>0</v>
          </cell>
          <cell r="J276">
            <v>0</v>
          </cell>
        </row>
        <row r="284">
          <cell r="E284">
            <v>0</v>
          </cell>
          <cell r="G284">
            <v>0</v>
          </cell>
          <cell r="H284">
            <v>0</v>
          </cell>
          <cell r="I284">
            <v>0</v>
          </cell>
          <cell r="J284">
            <v>0</v>
          </cell>
        </row>
        <row r="287">
          <cell r="E287">
            <v>0</v>
          </cell>
          <cell r="G287">
            <v>0</v>
          </cell>
          <cell r="H287">
            <v>0</v>
          </cell>
          <cell r="I287">
            <v>0</v>
          </cell>
          <cell r="J287">
            <v>0</v>
          </cell>
        </row>
        <row r="288">
          <cell r="E288">
            <v>0</v>
          </cell>
          <cell r="G288">
            <v>0</v>
          </cell>
          <cell r="H288">
            <v>0</v>
          </cell>
          <cell r="I288">
            <v>0</v>
          </cell>
          <cell r="J288">
            <v>0</v>
          </cell>
        </row>
        <row r="293">
          <cell r="E293">
            <v>0</v>
          </cell>
          <cell r="G293">
            <v>0</v>
          </cell>
          <cell r="H293">
            <v>0</v>
          </cell>
          <cell r="I293">
            <v>0</v>
          </cell>
          <cell r="J293">
            <v>0</v>
          </cell>
        </row>
        <row r="294">
          <cell r="E294">
            <v>0</v>
          </cell>
          <cell r="G294">
            <v>0</v>
          </cell>
          <cell r="H294">
            <v>0</v>
          </cell>
          <cell r="I294">
            <v>0</v>
          </cell>
          <cell r="J294">
            <v>0</v>
          </cell>
        </row>
        <row r="296">
          <cell r="E296">
            <v>0</v>
          </cell>
          <cell r="G296">
            <v>0</v>
          </cell>
          <cell r="H296">
            <v>0</v>
          </cell>
          <cell r="I296">
            <v>0</v>
          </cell>
          <cell r="J296">
            <v>0</v>
          </cell>
        </row>
        <row r="297">
          <cell r="E297">
            <v>0</v>
          </cell>
          <cell r="G297">
            <v>0</v>
          </cell>
          <cell r="H297">
            <v>0</v>
          </cell>
          <cell r="I297">
            <v>0</v>
          </cell>
          <cell r="J297">
            <v>0</v>
          </cell>
        </row>
        <row r="361">
          <cell r="E361">
            <v>0</v>
          </cell>
          <cell r="G361">
            <v>0</v>
          </cell>
          <cell r="H361">
            <v>0</v>
          </cell>
          <cell r="I361">
            <v>0</v>
          </cell>
          <cell r="J361">
            <v>0</v>
          </cell>
        </row>
        <row r="375">
          <cell r="E375">
            <v>0</v>
          </cell>
          <cell r="G375">
            <v>0</v>
          </cell>
          <cell r="H375">
            <v>0</v>
          </cell>
          <cell r="I375">
            <v>0</v>
          </cell>
          <cell r="J375">
            <v>0</v>
          </cell>
        </row>
        <row r="383">
          <cell r="E383">
            <v>0</v>
          </cell>
          <cell r="G383">
            <v>0</v>
          </cell>
          <cell r="H383">
            <v>0</v>
          </cell>
          <cell r="I383">
            <v>0</v>
          </cell>
          <cell r="J383">
            <v>0</v>
          </cell>
        </row>
        <row r="388">
          <cell r="E388">
            <v>0</v>
          </cell>
          <cell r="G388">
            <v>0</v>
          </cell>
          <cell r="H388">
            <v>0</v>
          </cell>
          <cell r="I388">
            <v>0</v>
          </cell>
          <cell r="J388">
            <v>0</v>
          </cell>
        </row>
        <row r="391">
          <cell r="E391">
            <v>1054229</v>
          </cell>
          <cell r="G391">
            <v>-96012</v>
          </cell>
          <cell r="H391">
            <v>0</v>
          </cell>
          <cell r="I391">
            <v>0</v>
          </cell>
          <cell r="J391">
            <v>0</v>
          </cell>
        </row>
        <row r="396">
          <cell r="E396">
            <v>0</v>
          </cell>
          <cell r="G396">
            <v>0</v>
          </cell>
          <cell r="H396">
            <v>0</v>
          </cell>
          <cell r="I396">
            <v>0</v>
          </cell>
          <cell r="J396">
            <v>0</v>
          </cell>
        </row>
        <row r="399">
          <cell r="E399">
            <v>0</v>
          </cell>
          <cell r="G399">
            <v>0</v>
          </cell>
          <cell r="H399">
            <v>0</v>
          </cell>
          <cell r="I399">
            <v>0</v>
          </cell>
          <cell r="J399">
            <v>0</v>
          </cell>
        </row>
        <row r="402">
          <cell r="E402">
            <v>0</v>
          </cell>
          <cell r="G402">
            <v>0</v>
          </cell>
          <cell r="H402">
            <v>0</v>
          </cell>
          <cell r="I402">
            <v>0</v>
          </cell>
          <cell r="J402">
            <v>0</v>
          </cell>
        </row>
        <row r="406">
          <cell r="E406">
            <v>0</v>
          </cell>
          <cell r="G406">
            <v>670599</v>
          </cell>
          <cell r="H406">
            <v>0</v>
          </cell>
          <cell r="I406">
            <v>0</v>
          </cell>
          <cell r="J406">
            <v>0</v>
          </cell>
        </row>
        <row r="409">
          <cell r="E409">
            <v>0</v>
          </cell>
          <cell r="G409">
            <v>0</v>
          </cell>
          <cell r="H409">
            <v>0</v>
          </cell>
          <cell r="I409">
            <v>0</v>
          </cell>
          <cell r="J409">
            <v>0</v>
          </cell>
        </row>
        <row r="412">
          <cell r="E412">
            <v>0</v>
          </cell>
          <cell r="G412">
            <v>0</v>
          </cell>
          <cell r="H412">
            <v>0</v>
          </cell>
          <cell r="I412">
            <v>0</v>
          </cell>
          <cell r="J412">
            <v>247261</v>
          </cell>
        </row>
        <row r="425">
          <cell r="G425">
            <v>0</v>
          </cell>
        </row>
        <row r="426">
          <cell r="E426">
            <v>0</v>
          </cell>
          <cell r="G426">
            <v>0</v>
          </cell>
          <cell r="H426">
            <v>0</v>
          </cell>
          <cell r="I426">
            <v>0</v>
          </cell>
          <cell r="J426">
            <v>0</v>
          </cell>
        </row>
        <row r="461">
          <cell r="E461">
            <v>0</v>
          </cell>
          <cell r="G461">
            <v>0</v>
          </cell>
          <cell r="H461">
            <v>0</v>
          </cell>
          <cell r="I461">
            <v>0</v>
          </cell>
          <cell r="J461">
            <v>0</v>
          </cell>
        </row>
        <row r="471">
          <cell r="E471">
            <v>0</v>
          </cell>
          <cell r="G471">
            <v>0</v>
          </cell>
          <cell r="H471">
            <v>0</v>
          </cell>
          <cell r="I471">
            <v>0</v>
          </cell>
          <cell r="J471">
            <v>0</v>
          </cell>
        </row>
        <row r="479">
          <cell r="G479">
            <v>0</v>
          </cell>
          <cell r="H479">
            <v>0</v>
          </cell>
        </row>
        <row r="480">
          <cell r="G480">
            <v>0</v>
          </cell>
          <cell r="H480">
            <v>0</v>
          </cell>
        </row>
        <row r="491">
          <cell r="G491">
            <v>0</v>
          </cell>
          <cell r="H491">
            <v>0</v>
          </cell>
        </row>
        <row r="493">
          <cell r="G493">
            <v>0</v>
          </cell>
          <cell r="H493">
            <v>0</v>
          </cell>
        </row>
        <row r="497">
          <cell r="E497">
            <v>0</v>
          </cell>
          <cell r="G497">
            <v>0</v>
          </cell>
          <cell r="H497">
            <v>0</v>
          </cell>
          <cell r="I497">
            <v>0</v>
          </cell>
          <cell r="J497">
            <v>0</v>
          </cell>
        </row>
        <row r="503">
          <cell r="E503">
            <v>0</v>
          </cell>
          <cell r="G503">
            <v>0</v>
          </cell>
          <cell r="H503">
            <v>0</v>
          </cell>
          <cell r="I503">
            <v>0</v>
          </cell>
          <cell r="J503">
            <v>0</v>
          </cell>
        </row>
        <row r="512">
          <cell r="E512">
            <v>0</v>
          </cell>
          <cell r="G512">
            <v>0</v>
          </cell>
          <cell r="H512">
            <v>0</v>
          </cell>
          <cell r="I512">
            <v>0</v>
          </cell>
          <cell r="J512">
            <v>0</v>
          </cell>
        </row>
        <row r="516">
          <cell r="E516">
            <v>0</v>
          </cell>
          <cell r="G516">
            <v>0</v>
          </cell>
          <cell r="H516">
            <v>0</v>
          </cell>
          <cell r="I516">
            <v>0</v>
          </cell>
          <cell r="J516">
            <v>0</v>
          </cell>
        </row>
        <row r="521">
          <cell r="E521">
            <v>0</v>
          </cell>
          <cell r="G521">
            <v>0</v>
          </cell>
          <cell r="H521">
            <v>0</v>
          </cell>
          <cell r="I521">
            <v>0</v>
          </cell>
          <cell r="J521">
            <v>0</v>
          </cell>
        </row>
        <row r="524">
          <cell r="E524">
            <v>0</v>
          </cell>
          <cell r="G524">
            <v>-25488</v>
          </cell>
          <cell r="H524">
            <v>0</v>
          </cell>
          <cell r="I524">
            <v>0</v>
          </cell>
          <cell r="J524">
            <v>19900</v>
          </cell>
        </row>
        <row r="531">
          <cell r="E531">
            <v>0</v>
          </cell>
          <cell r="G531">
            <v>0</v>
          </cell>
          <cell r="H531">
            <v>0</v>
          </cell>
          <cell r="I531">
            <v>0</v>
          </cell>
          <cell r="J531">
            <v>0</v>
          </cell>
        </row>
        <row r="536">
          <cell r="E536">
            <v>0</v>
          </cell>
          <cell r="G536">
            <v>0</v>
          </cell>
          <cell r="H536">
            <v>0</v>
          </cell>
          <cell r="I536">
            <v>0</v>
          </cell>
          <cell r="J536">
            <v>0</v>
          </cell>
        </row>
        <row r="544">
          <cell r="E544">
            <v>0</v>
          </cell>
          <cell r="G544">
            <v>0</v>
          </cell>
          <cell r="H544">
            <v>0</v>
          </cell>
          <cell r="I544">
            <v>0</v>
          </cell>
          <cell r="J544">
            <v>0</v>
          </cell>
        </row>
        <row r="567">
          <cell r="H567">
            <v>0</v>
          </cell>
          <cell r="I567">
            <v>0</v>
          </cell>
          <cell r="J567">
            <v>0</v>
          </cell>
        </row>
        <row r="568">
          <cell r="G568">
            <v>0</v>
          </cell>
          <cell r="H568">
            <v>0</v>
          </cell>
          <cell r="I568">
            <v>0</v>
          </cell>
          <cell r="J568">
            <v>0</v>
          </cell>
        </row>
        <row r="569">
          <cell r="H569">
            <v>0</v>
          </cell>
          <cell r="I569">
            <v>0</v>
          </cell>
          <cell r="J569">
            <v>0</v>
          </cell>
        </row>
        <row r="570">
          <cell r="G570">
            <v>0</v>
          </cell>
          <cell r="I570">
            <v>0</v>
          </cell>
          <cell r="J570">
            <v>0</v>
          </cell>
        </row>
        <row r="571">
          <cell r="G571">
            <v>0</v>
          </cell>
          <cell r="H571">
            <v>0</v>
          </cell>
          <cell r="J571">
            <v>0</v>
          </cell>
        </row>
        <row r="572">
          <cell r="G572">
            <v>0</v>
          </cell>
          <cell r="H572">
            <v>0</v>
          </cell>
          <cell r="J572">
            <v>0</v>
          </cell>
        </row>
        <row r="573">
          <cell r="G573">
            <v>0</v>
          </cell>
          <cell r="H573">
            <v>0</v>
          </cell>
          <cell r="I573">
            <v>0</v>
          </cell>
          <cell r="J573">
            <v>0</v>
          </cell>
        </row>
        <row r="574">
          <cell r="G574">
            <v>0</v>
          </cell>
          <cell r="H574">
            <v>0</v>
          </cell>
          <cell r="I574">
            <v>0</v>
          </cell>
          <cell r="J574">
            <v>0</v>
          </cell>
        </row>
        <row r="575">
          <cell r="H575">
            <v>0</v>
          </cell>
          <cell r="I575">
            <v>0</v>
          </cell>
          <cell r="J575">
            <v>0</v>
          </cell>
        </row>
        <row r="576">
          <cell r="G576">
            <v>0</v>
          </cell>
          <cell r="I576">
            <v>0</v>
          </cell>
          <cell r="J576">
            <v>0</v>
          </cell>
        </row>
        <row r="577">
          <cell r="G577">
            <v>0</v>
          </cell>
          <cell r="H577">
            <v>0</v>
          </cell>
          <cell r="I577">
            <v>-172</v>
          </cell>
          <cell r="J577">
            <v>0</v>
          </cell>
        </row>
        <row r="578">
          <cell r="G578">
            <v>0</v>
          </cell>
          <cell r="H578">
            <v>0</v>
          </cell>
          <cell r="I578">
            <v>0</v>
          </cell>
          <cell r="J578">
            <v>0</v>
          </cell>
        </row>
        <row r="579">
          <cell r="G579">
            <v>0</v>
          </cell>
          <cell r="I579">
            <v>0</v>
          </cell>
        </row>
        <row r="580">
          <cell r="G580">
            <v>0</v>
          </cell>
          <cell r="I580">
            <v>0</v>
          </cell>
          <cell r="J580">
            <v>0</v>
          </cell>
        </row>
        <row r="581">
          <cell r="G581">
            <v>0</v>
          </cell>
          <cell r="I581">
            <v>0</v>
          </cell>
          <cell r="J581">
            <v>0</v>
          </cell>
        </row>
        <row r="582">
          <cell r="G582">
            <v>0</v>
          </cell>
          <cell r="H582">
            <v>0</v>
          </cell>
          <cell r="J582">
            <v>0</v>
          </cell>
        </row>
        <row r="583">
          <cell r="G583">
            <v>0</v>
          </cell>
          <cell r="H583">
            <v>0</v>
          </cell>
          <cell r="J583">
            <v>0</v>
          </cell>
        </row>
        <row r="584">
          <cell r="G584">
            <v>0</v>
          </cell>
          <cell r="I584">
            <v>0</v>
          </cell>
          <cell r="J584">
            <v>0</v>
          </cell>
        </row>
        <row r="585">
          <cell r="G585">
            <v>0</v>
          </cell>
          <cell r="J585">
            <v>0</v>
          </cell>
        </row>
        <row r="587">
          <cell r="H587">
            <v>0</v>
          </cell>
          <cell r="I587">
            <v>0</v>
          </cell>
          <cell r="J587">
            <v>0</v>
          </cell>
        </row>
        <row r="588">
          <cell r="H588">
            <v>0</v>
          </cell>
          <cell r="I588">
            <v>0</v>
          </cell>
          <cell r="J588">
            <v>0</v>
          </cell>
        </row>
        <row r="589">
          <cell r="H589">
            <v>0</v>
          </cell>
          <cell r="I589">
            <v>0</v>
          </cell>
          <cell r="J589">
            <v>0</v>
          </cell>
        </row>
        <row r="590">
          <cell r="H590">
            <v>0</v>
          </cell>
          <cell r="I590">
            <v>0</v>
          </cell>
          <cell r="J590">
            <v>0</v>
          </cell>
        </row>
        <row r="591">
          <cell r="E591">
            <v>0</v>
          </cell>
          <cell r="G591">
            <v>-2800</v>
          </cell>
          <cell r="H591">
            <v>0</v>
          </cell>
          <cell r="I591">
            <v>2800</v>
          </cell>
          <cell r="J591">
            <v>0</v>
          </cell>
        </row>
        <row r="594">
          <cell r="E594">
            <v>0</v>
          </cell>
          <cell r="G594">
            <v>0</v>
          </cell>
          <cell r="H594">
            <v>0</v>
          </cell>
          <cell r="I594">
            <v>0</v>
          </cell>
          <cell r="J594">
            <v>0</v>
          </cell>
        </row>
        <row r="605">
          <cell r="B605" t="str">
            <v>30.09.2023 г.</v>
          </cell>
        </row>
      </sheetData>
      <sheetData sheetId="4"/>
      <sheetData sheetId="5"/>
    </sheetDataSet>
  </externalBook>
</externalLink>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8"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+[1]OTCHET!B9</f>
        <v>РИОСВ - ПЛОВДИВ</v>
      </c>
      <c r="C11" s="22"/>
      <c r="D11" s="22"/>
      <c r="E11" s="23" t="s">
        <v>0</v>
      </c>
      <c r="F11" s="24">
        <f>[1]OTCHET!F9</f>
        <v>44957</v>
      </c>
      <c r="G11" s="25" t="s">
        <v>1</v>
      </c>
      <c r="H11" s="26">
        <f>+[1]OTCHET!H9</f>
        <v>471013</v>
      </c>
      <c r="I11" s="448">
        <f>+[1]OTCHET!I9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+[1]OTCHET!B12</f>
        <v>Министерство на околната среда и водите</v>
      </c>
      <c r="C13" s="31"/>
      <c r="D13" s="31"/>
      <c r="E13" s="35" t="str">
        <f>+[1]OTCHET!E12</f>
        <v>код по ЕБК:</v>
      </c>
      <c r="F13" s="36" t="str">
        <f>+[1]OTCHET!F12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+[1]OTCHET!E15</f>
        <v>0</v>
      </c>
      <c r="F15" s="41" t="str">
        <f>[1]OTCHET!F15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10724</v>
      </c>
      <c r="G22" s="103">
        <f t="shared" si="0"/>
        <v>10924</v>
      </c>
      <c r="H22" s="104">
        <f t="shared" si="0"/>
        <v>0</v>
      </c>
      <c r="I22" s="104">
        <f t="shared" si="0"/>
        <v>0</v>
      </c>
      <c r="J22" s="105">
        <f t="shared" si="0"/>
        <v>-200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[1]OTCHET!E22+[1]OTCHET!E28+[1]OTCHET!E33+[1]OTCHET!E39+[1]OTCHET!E47+[1]OTCHET!E52+[1]OTCHET!E58+[1]OTCHET!E61+[1]OTCHET!E64+[1]OTCHET!E65+[1]OTCHET!E72+[1]OTCHET!E73</f>
        <v>0</v>
      </c>
      <c r="F23" s="111">
        <f t="shared" ref="F23:F88" si="1">+G23+H23+I23+J23</f>
        <v>0</v>
      </c>
      <c r="G23" s="112">
        <f>[1]OTCHET!G22+[1]OTCHET!G28+[1]OTCHET!G33+[1]OTCHET!G39+[1]OTCHET!G47+[1]OTCHET!G52+[1]OTCHET!G58+[1]OTCHET!G61+[1]OTCHET!G64+[1]OTCHET!G65+[1]OTCHET!G72+[1]OTCHET!G73</f>
        <v>0</v>
      </c>
      <c r="H23" s="113">
        <f>[1]OTCHET!H22+[1]OTCHET!H28+[1]OTCHET!H33+[1]OTCHET!H39+[1]OTCHET!H47+[1]OTCHET!H52+[1]OTCHET!H58+[1]OTCHET!H61+[1]OTCHET!H64+[1]OTCHET!H65+[1]OTCHET!H72+[1]OTCHET!H73</f>
        <v>0</v>
      </c>
      <c r="I23" s="113">
        <f>[1]OTCHET!I22+[1]OTCHET!I28+[1]OTCHET!I33+[1]OTCHET!I39+[1]OTCHET!I47+[1]OTCHET!I52+[1]OTCHET!I58+[1]OTCHET!I61+[1]OTCHET!I64+[1]OTCHET!I65+[1]OTCHET!I72+[1]OTCHET!I73</f>
        <v>0</v>
      </c>
      <c r="J23" s="114">
        <f>[1]OTCHET!J22+[1]OTCHET!J28+[1]OTCHET!J33+[1]OTCHET!J39+[1]OTCHET!J47+[1]OTCHET!J52+[1]OTCHET!J58+[1]OTCHET!J61+[1]OTCHET!J64+[1]OTCHET!J65+[1]OTCHET!J72+[1]OTCHET!J73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10724</v>
      </c>
      <c r="G25" s="128">
        <f t="shared" ref="G25:M25" si="2">+G26+G30+G31+G32+G33</f>
        <v>10924</v>
      </c>
      <c r="H25" s="129">
        <f>+H26+H30+H31+H32+H33</f>
        <v>0</v>
      </c>
      <c r="I25" s="129">
        <f>+I26+I30+I31+I32+I33</f>
        <v>0</v>
      </c>
      <c r="J25" s="130">
        <f>+J26+J30+J31+J32+J33</f>
        <v>-200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[1]OTCHET!E74</f>
        <v>0</v>
      </c>
      <c r="F26" s="133">
        <f t="shared" si="1"/>
        <v>0</v>
      </c>
      <c r="G26" s="134">
        <f>[1]OTCHET!G74</f>
        <v>0</v>
      </c>
      <c r="H26" s="135">
        <f>[1]OTCHET!H74</f>
        <v>0</v>
      </c>
      <c r="I26" s="135">
        <f>[1]OTCHET!I74</f>
        <v>0</v>
      </c>
      <c r="J26" s="136">
        <f>[1]OTCHET!J74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[1]OTCHET!E75</f>
        <v>0</v>
      </c>
      <c r="F27" s="140">
        <f t="shared" si="1"/>
        <v>0</v>
      </c>
      <c r="G27" s="141">
        <f>[1]OTCHET!G75</f>
        <v>0</v>
      </c>
      <c r="H27" s="142">
        <f>[1]OTCHET!H75</f>
        <v>0</v>
      </c>
      <c r="I27" s="142">
        <f>[1]OTCHET!I75</f>
        <v>0</v>
      </c>
      <c r="J27" s="143">
        <f>[1]OTCHET!J75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[1]OTCHET!E77</f>
        <v>0</v>
      </c>
      <c r="F28" s="148">
        <f t="shared" si="1"/>
        <v>0</v>
      </c>
      <c r="G28" s="149">
        <f>[1]OTCHET!G77</f>
        <v>0</v>
      </c>
      <c r="H28" s="150">
        <f>[1]OTCHET!H77</f>
        <v>0</v>
      </c>
      <c r="I28" s="150">
        <f>[1]OTCHET!I77</f>
        <v>0</v>
      </c>
      <c r="J28" s="151">
        <f>[1]OTCHET!J77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+[1]OTCHET!E78+[1]OTCHET!E79</f>
        <v>0</v>
      </c>
      <c r="F29" s="156">
        <f t="shared" si="1"/>
        <v>0</v>
      </c>
      <c r="G29" s="157">
        <f>+[1]OTCHET!G78+[1]OTCHET!G79</f>
        <v>0</v>
      </c>
      <c r="H29" s="158">
        <f>+[1]OTCHET!H78+[1]OTCHET!H79</f>
        <v>0</v>
      </c>
      <c r="I29" s="158">
        <f>+[1]OTCHET!I78+[1]OTCHET!I79</f>
        <v>0</v>
      </c>
      <c r="J29" s="159">
        <f>+[1]OTCHET!J78+[1]OTCHET!J79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[1]OTCHET!E90+[1]OTCHET!E93+[1]OTCHET!E94</f>
        <v>0</v>
      </c>
      <c r="F30" s="162">
        <f t="shared" si="1"/>
        <v>9850</v>
      </c>
      <c r="G30" s="163">
        <f>[1]OTCHET!G90+[1]OTCHET!G93+[1]OTCHET!G94</f>
        <v>9850</v>
      </c>
      <c r="H30" s="164">
        <f>[1]OTCHET!H90+[1]OTCHET!H93+[1]OTCHET!H94</f>
        <v>0</v>
      </c>
      <c r="I30" s="164">
        <f>[1]OTCHET!I90+[1]OTCHET!I93+[1]OTCHET!I94</f>
        <v>0</v>
      </c>
      <c r="J30" s="165">
        <f>[1]OTCHET!J90+[1]OTCHET!J93+[1]OTCHET!J94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[1]OTCHET!E106</f>
        <v>0</v>
      </c>
      <c r="F31" s="168">
        <f t="shared" si="1"/>
        <v>754</v>
      </c>
      <c r="G31" s="169">
        <f>[1]OTCHET!G106</f>
        <v>754</v>
      </c>
      <c r="H31" s="170">
        <f>[1]OTCHET!H106</f>
        <v>0</v>
      </c>
      <c r="I31" s="170">
        <f>[1]OTCHET!I106</f>
        <v>0</v>
      </c>
      <c r="J31" s="171">
        <f>[1]OTCHET!J106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[1]OTCHET!E110+[1]OTCHET!E119+[1]OTCHET!E135+[1]OTCHET!E136</f>
        <v>0</v>
      </c>
      <c r="F32" s="168">
        <f t="shared" si="1"/>
        <v>120</v>
      </c>
      <c r="G32" s="169">
        <f>[1]OTCHET!G110+[1]OTCHET!G119+[1]OTCHET!G135+[1]OTCHET!G136</f>
        <v>320</v>
      </c>
      <c r="H32" s="170">
        <f>[1]OTCHET!H110+[1]OTCHET!H119+[1]OTCHET!H135+[1]OTCHET!H136</f>
        <v>0</v>
      </c>
      <c r="I32" s="170">
        <f>[1]OTCHET!I110+[1]OTCHET!I119+[1]OTCHET!I135+[1]OTCHET!I136</f>
        <v>0</v>
      </c>
      <c r="J32" s="171">
        <f>[1]OTCHET!J110+[1]OTCHET!J119+[1]OTCHET!J135+[1]OTCHET!J136</f>
        <v>-200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[1]OTCHET!E123</f>
        <v>0</v>
      </c>
      <c r="F33" s="120">
        <f t="shared" si="1"/>
        <v>0</v>
      </c>
      <c r="G33" s="121">
        <f>[1]OTCHET!G123</f>
        <v>0</v>
      </c>
      <c r="H33" s="122">
        <f>[1]OTCHET!H123</f>
        <v>0</v>
      </c>
      <c r="I33" s="122">
        <f>[1]OTCHET!I123</f>
        <v>0</v>
      </c>
      <c r="J33" s="123">
        <f>[1]OTCHET!J123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+[1]OTCHET!E137</f>
        <v>0</v>
      </c>
      <c r="F36" s="191">
        <f t="shared" si="1"/>
        <v>0</v>
      </c>
      <c r="G36" s="192">
        <f>+[1]OTCHET!G137</f>
        <v>0</v>
      </c>
      <c r="H36" s="193">
        <f>+[1]OTCHET!H137</f>
        <v>0</v>
      </c>
      <c r="I36" s="193">
        <f>+[1]OTCHET!I137</f>
        <v>0</v>
      </c>
      <c r="J36" s="194">
        <f>+[1]OTCHET!J137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[1]OTCHET!E140+[1]OTCHET!E149+[1]OTCHET!E158</f>
        <v>0</v>
      </c>
      <c r="F37" s="199">
        <f t="shared" si="1"/>
        <v>0</v>
      </c>
      <c r="G37" s="200">
        <f>[1]OTCHET!G140+[1]OTCHET!G149+[1]OTCHET!G158</f>
        <v>0</v>
      </c>
      <c r="H37" s="201">
        <f>[1]OTCHET!H140+[1]OTCHET!H149+[1]OTCHET!H158</f>
        <v>0</v>
      </c>
      <c r="I37" s="201">
        <f>[1]OTCHET!I140+[1]OTCHET!I149+[1]OTCHET!I158</f>
        <v>0</v>
      </c>
      <c r="J37" s="202">
        <f>[1]OTCHET!J140+[1]OTCHET!J149+[1]OTCHET!J158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111249</v>
      </c>
      <c r="G38" s="210">
        <f t="shared" si="3"/>
        <v>77991</v>
      </c>
      <c r="H38" s="211">
        <f t="shared" si="3"/>
        <v>0</v>
      </c>
      <c r="I38" s="211">
        <f t="shared" si="3"/>
        <v>1048</v>
      </c>
      <c r="J38" s="212">
        <f t="shared" si="3"/>
        <v>32210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99996</v>
      </c>
      <c r="G39" s="222">
        <f t="shared" si="4"/>
        <v>67786</v>
      </c>
      <c r="H39" s="223">
        <f t="shared" si="4"/>
        <v>0</v>
      </c>
      <c r="I39" s="223">
        <f t="shared" si="4"/>
        <v>0</v>
      </c>
      <c r="J39" s="224">
        <f t="shared" si="4"/>
        <v>32210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[1]OTCHET!E187</f>
        <v>0</v>
      </c>
      <c r="F40" s="229">
        <f t="shared" si="1"/>
        <v>74179</v>
      </c>
      <c r="G40" s="230">
        <f>[1]OTCHET!G187</f>
        <v>65699</v>
      </c>
      <c r="H40" s="231">
        <f>[1]OTCHET!H187</f>
        <v>0</v>
      </c>
      <c r="I40" s="231">
        <f>[1]OTCHET!I187</f>
        <v>0</v>
      </c>
      <c r="J40" s="232">
        <f>[1]OTCHET!J187</f>
        <v>8480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[1]OTCHET!E190</f>
        <v>0</v>
      </c>
      <c r="F41" s="237">
        <f t="shared" si="1"/>
        <v>2477</v>
      </c>
      <c r="G41" s="238">
        <f>[1]OTCHET!G190</f>
        <v>2087</v>
      </c>
      <c r="H41" s="239">
        <f>[1]OTCHET!H190</f>
        <v>0</v>
      </c>
      <c r="I41" s="239">
        <f>[1]OTCHET!I190</f>
        <v>0</v>
      </c>
      <c r="J41" s="240">
        <f>[1]OTCHET!J190</f>
        <v>390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+[1]OTCHET!E196+[1]OTCHET!E204</f>
        <v>0</v>
      </c>
      <c r="F42" s="244">
        <f t="shared" si="1"/>
        <v>23340</v>
      </c>
      <c r="G42" s="245">
        <f>+[1]OTCHET!G196+[1]OTCHET!G204</f>
        <v>0</v>
      </c>
      <c r="H42" s="246">
        <f>+[1]OTCHET!H196+[1]OTCHET!H204</f>
        <v>0</v>
      </c>
      <c r="I42" s="246">
        <f>+[1]OTCHET!I196+[1]OTCHET!I204</f>
        <v>0</v>
      </c>
      <c r="J42" s="247">
        <f>+[1]OTCHET!J196+[1]OTCHET!J204</f>
        <v>23340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+[1]OTCHET!E205+[1]OTCHET!E223+[1]OTCHET!E271</f>
        <v>0</v>
      </c>
      <c r="F43" s="250">
        <f t="shared" si="1"/>
        <v>11253</v>
      </c>
      <c r="G43" s="251">
        <f>+[1]OTCHET!G205+[1]OTCHET!G223+[1]OTCHET!G271</f>
        <v>10205</v>
      </c>
      <c r="H43" s="252">
        <f>+[1]OTCHET!H205+[1]OTCHET!H223+[1]OTCHET!H271</f>
        <v>0</v>
      </c>
      <c r="I43" s="252">
        <f>+[1]OTCHET!I205+[1]OTCHET!I223+[1]OTCHET!I271</f>
        <v>1048</v>
      </c>
      <c r="J43" s="253">
        <f>+[1]OTCHET!J205+[1]OTCHET!J223+[1]OTCHET!J271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+[1]OTCHET!E227+[1]OTCHET!E233+[1]OTCHET!E236+[1]OTCHET!E237+[1]OTCHET!E238+[1]OTCHET!E239+[1]OTCHET!E240</f>
        <v>0</v>
      </c>
      <c r="F44" s="120">
        <f t="shared" si="1"/>
        <v>0</v>
      </c>
      <c r="G44" s="121">
        <f>+[1]OTCHET!G227+[1]OTCHET!G233+[1]OTCHET!G236+[1]OTCHET!G237+[1]OTCHET!G238+[1]OTCHET!G239+[1]OTCHET!G240</f>
        <v>0</v>
      </c>
      <c r="H44" s="122">
        <f>+[1]OTCHET!H227+[1]OTCHET!H233+[1]OTCHET!H236+[1]OTCHET!H237+[1]OTCHET!H238+[1]OTCHET!H239+[1]OTCHET!H240</f>
        <v>0</v>
      </c>
      <c r="I44" s="122">
        <f>+[1]OTCHET!I227+[1]OTCHET!I233+[1]OTCHET!I236+[1]OTCHET!I237+[1]OTCHET!I238+[1]OTCHET!I239+[1]OTCHET!I240</f>
        <v>0</v>
      </c>
      <c r="J44" s="123">
        <f>+[1]OTCHET!J227+[1]OTCHET!J233+[1]OTCHET!J236+[1]OTCHET!J237+[1]OTCHET!J238+[1]OTCHET!J239+[1]OTCHET!J240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+[1]OTCHET!E236+[1]OTCHET!E237+[1]OTCHET!E238+[1]OTCHET!E239+[1]OTCHET!E243+[1]OTCHET!E244+[1]OTCHET!E248</f>
        <v>0</v>
      </c>
      <c r="F45" s="256">
        <f t="shared" si="1"/>
        <v>0</v>
      </c>
      <c r="G45" s="257">
        <f>+[1]OTCHET!G236+[1]OTCHET!G237+[1]OTCHET!G238+[1]OTCHET!G239+[1]OTCHET!G243+[1]OTCHET!G244+[1]OTCHET!G248</f>
        <v>0</v>
      </c>
      <c r="H45" s="258">
        <f>+[1]OTCHET!H236+[1]OTCHET!H237+[1]OTCHET!H238+[1]OTCHET!H239+[1]OTCHET!H243+[1]OTCHET!H244+[1]OTCHET!H248</f>
        <v>0</v>
      </c>
      <c r="I45" s="259">
        <f>+[1]OTCHET!I236+[1]OTCHET!I237+[1]OTCHET!I238+[1]OTCHET!I239+[1]OTCHET!I243+[1]OTCHET!I244+[1]OTCHET!I248</f>
        <v>0</v>
      </c>
      <c r="J45" s="260">
        <f>+[1]OTCHET!J236+[1]OTCHET!J237+[1]OTCHET!J238+[1]OTCHET!J239+[1]OTCHET!J243+[1]OTCHET!J244+[1]OTCHET!J248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+[1]OTCHET!E255+[1]OTCHET!E256+[1]OTCHET!E257+[1]OTCHET!E258</f>
        <v>0</v>
      </c>
      <c r="F46" s="250">
        <f t="shared" si="1"/>
        <v>0</v>
      </c>
      <c r="G46" s="251">
        <f>+[1]OTCHET!G255+[1]OTCHET!G256+[1]OTCHET!G257+[1]OTCHET!G258</f>
        <v>0</v>
      </c>
      <c r="H46" s="252">
        <f>+[1]OTCHET!H255+[1]OTCHET!H256+[1]OTCHET!H257+[1]OTCHET!H258</f>
        <v>0</v>
      </c>
      <c r="I46" s="252">
        <f>+[1]OTCHET!I255+[1]OTCHET!I256+[1]OTCHET!I257+[1]OTCHET!I258</f>
        <v>0</v>
      </c>
      <c r="J46" s="253">
        <f>+[1]OTCHET!J255+[1]OTCHET!J256+[1]OTCHET!J257+[1]OTCHET!J258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+[1]OTCHET!E256</f>
        <v>0</v>
      </c>
      <c r="F47" s="256">
        <f t="shared" si="1"/>
        <v>0</v>
      </c>
      <c r="G47" s="257">
        <f>+[1]OTCHET!G256</f>
        <v>0</v>
      </c>
      <c r="H47" s="258">
        <f>+[1]OTCHET!H256</f>
        <v>0</v>
      </c>
      <c r="I47" s="259">
        <f>+[1]OTCHET!I256</f>
        <v>0</v>
      </c>
      <c r="J47" s="260">
        <f>+[1]OTCHET!J256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+[1]OTCHET!E265+[1]OTCHET!E269+[1]OTCHET!E270</f>
        <v>0</v>
      </c>
      <c r="F48" s="168">
        <f t="shared" si="1"/>
        <v>0</v>
      </c>
      <c r="G48" s="163">
        <f>+[1]OTCHET!G265+[1]OTCHET!G269+[1]OTCHET!G270</f>
        <v>0</v>
      </c>
      <c r="H48" s="164">
        <f>+[1]OTCHET!H265+[1]OTCHET!H269+[1]OTCHET!H270</f>
        <v>0</v>
      </c>
      <c r="I48" s="164">
        <f>+[1]OTCHET!I265+[1]OTCHET!I269+[1]OTCHET!I270</f>
        <v>0</v>
      </c>
      <c r="J48" s="165">
        <f>+[1]OTCHET!J265+[1]OTCHET!J269+[1]OTCHET!J270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[1]OTCHET!E275+[1]OTCHET!E276+[1]OTCHET!E284+[1]OTCHET!E287</f>
        <v>0</v>
      </c>
      <c r="F49" s="168">
        <f t="shared" si="1"/>
        <v>0</v>
      </c>
      <c r="G49" s="169">
        <f>[1]OTCHET!G275+[1]OTCHET!G276+[1]OTCHET!G284+[1]OTCHET!G287</f>
        <v>0</v>
      </c>
      <c r="H49" s="170">
        <f>[1]OTCHET!H275+[1]OTCHET!H276+[1]OTCHET!H284+[1]OTCHET!H287</f>
        <v>0</v>
      </c>
      <c r="I49" s="170">
        <f>[1]OTCHET!I275+[1]OTCHET!I276+[1]OTCHET!I284+[1]OTCHET!I287</f>
        <v>0</v>
      </c>
      <c r="J49" s="171">
        <f>[1]OTCHET!J275+[1]OTCHET!J276+[1]OTCHET!J284+[1]OTCHET!J287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+[1]OTCHET!E288</f>
        <v>0</v>
      </c>
      <c r="F50" s="168">
        <f t="shared" si="1"/>
        <v>0</v>
      </c>
      <c r="G50" s="169">
        <f>+[1]OTCHET!G288</f>
        <v>0</v>
      </c>
      <c r="H50" s="170">
        <f>+[1]OTCHET!H288</f>
        <v>0</v>
      </c>
      <c r="I50" s="170">
        <f>+[1]OTCHET!I288</f>
        <v>0</v>
      </c>
      <c r="J50" s="171">
        <f>+[1]OTCHET!J288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+[1]OTCHET!E272</f>
        <v>0</v>
      </c>
      <c r="F51" s="120">
        <f>+G51+H51+I51+J51</f>
        <v>0</v>
      </c>
      <c r="G51" s="121">
        <f>+[1]OTCHET!G272</f>
        <v>0</v>
      </c>
      <c r="H51" s="122">
        <f>+[1]OTCHET!H272</f>
        <v>0</v>
      </c>
      <c r="I51" s="122">
        <f>+[1]OTCHET!I272</f>
        <v>0</v>
      </c>
      <c r="J51" s="123">
        <f>+[1]OTCHET!J272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+[1]OTCHET!E293</f>
        <v>0</v>
      </c>
      <c r="F52" s="120">
        <f t="shared" si="1"/>
        <v>0</v>
      </c>
      <c r="G52" s="121">
        <f>+[1]OTCHET!G293</f>
        <v>0</v>
      </c>
      <c r="H52" s="122">
        <f>+[1]OTCHET!H293</f>
        <v>0</v>
      </c>
      <c r="I52" s="122">
        <f>+[1]OTCHET!I293</f>
        <v>0</v>
      </c>
      <c r="J52" s="123">
        <f>+[1]OTCHET!J293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[1]OTCHET!E294</f>
        <v>0</v>
      </c>
      <c r="F53" s="267">
        <f t="shared" si="1"/>
        <v>0</v>
      </c>
      <c r="G53" s="268">
        <f>[1]OTCHET!G294</f>
        <v>0</v>
      </c>
      <c r="H53" s="269">
        <f>[1]OTCHET!H294</f>
        <v>0</v>
      </c>
      <c r="I53" s="269">
        <f>[1]OTCHET!I294</f>
        <v>0</v>
      </c>
      <c r="J53" s="270">
        <f>[1]OTCHET!J294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[1]OTCHET!E296</f>
        <v>0</v>
      </c>
      <c r="F54" s="275">
        <f t="shared" si="1"/>
        <v>0</v>
      </c>
      <c r="G54" s="276">
        <f>[1]OTCHET!G296</f>
        <v>0</v>
      </c>
      <c r="H54" s="277">
        <f>[1]OTCHET!H296</f>
        <v>0</v>
      </c>
      <c r="I54" s="277">
        <f>[1]OTCHET!I296</f>
        <v>0</v>
      </c>
      <c r="J54" s="278">
        <f>[1]OTCHET!J296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+[1]OTCHET!E297</f>
        <v>0</v>
      </c>
      <c r="F55" s="284">
        <f t="shared" si="1"/>
        <v>0</v>
      </c>
      <c r="G55" s="285">
        <f>+[1]OTCHET!G297</f>
        <v>0</v>
      </c>
      <c r="H55" s="286">
        <f>+[1]OTCHET!H297</f>
        <v>0</v>
      </c>
      <c r="I55" s="286">
        <f>+[1]OTCHET!I297</f>
        <v>0</v>
      </c>
      <c r="J55" s="287">
        <f>+[1]OTCHET!J297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105263</v>
      </c>
      <c r="G56" s="294">
        <f t="shared" si="5"/>
        <v>73053</v>
      </c>
      <c r="H56" s="295">
        <f t="shared" si="5"/>
        <v>0</v>
      </c>
      <c r="I56" s="296">
        <f t="shared" si="5"/>
        <v>0</v>
      </c>
      <c r="J56" s="297">
        <f t="shared" si="5"/>
        <v>32210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+[1]OTCHET!E361+[1]OTCHET!E375+[1]OTCHET!E388</f>
        <v>0</v>
      </c>
      <c r="F57" s="299">
        <f t="shared" si="1"/>
        <v>0</v>
      </c>
      <c r="G57" s="300">
        <f>+[1]OTCHET!G361+[1]OTCHET!G375+[1]OTCHET!G388</f>
        <v>0</v>
      </c>
      <c r="H57" s="301">
        <f>+[1]OTCHET!H361+[1]OTCHET!H375+[1]OTCHET!H388</f>
        <v>0</v>
      </c>
      <c r="I57" s="301">
        <f>+[1]OTCHET!I361+[1]OTCHET!I375+[1]OTCHET!I388</f>
        <v>0</v>
      </c>
      <c r="J57" s="302">
        <f>+[1]OTCHET!J361+[1]OTCHET!J375+[1]OTCHET!J388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+[1]OTCHET!E383+[1]OTCHET!E391+[1]OTCHET!E396+[1]OTCHET!E399+[1]OTCHET!E402+[1]OTCHET!E405+[1]OTCHET!E406+[1]OTCHET!E409+[1]OTCHET!E422+[1]OTCHET!E423+[1]OTCHET!E424+[1]OTCHET!E425+[1]OTCHET!E426</f>
        <v>0</v>
      </c>
      <c r="F58" s="304">
        <f t="shared" si="1"/>
        <v>73053</v>
      </c>
      <c r="G58" s="305">
        <f>+[1]OTCHET!G383+[1]OTCHET!G391+[1]OTCHET!G396+[1]OTCHET!G399+[1]OTCHET!G402+[1]OTCHET!G405+[1]OTCHET!G406+[1]OTCHET!G409+[1]OTCHET!G422+[1]OTCHET!G423+[1]OTCHET!G424+[1]OTCHET!G425+[1]OTCHET!G426</f>
        <v>73053</v>
      </c>
      <c r="H58" s="306">
        <f>+[1]OTCHET!H383+[1]OTCHET!H391+[1]OTCHET!H396+[1]OTCHET!H399+[1]OTCHET!H402+[1]OTCHET!H405+[1]OTCHET!H406+[1]OTCHET!H409+[1]OTCHET!H422+[1]OTCHET!H423+[1]OTCHET!H424+[1]OTCHET!H425+[1]OTCHET!H426</f>
        <v>0</v>
      </c>
      <c r="I58" s="306">
        <f>+[1]OTCHET!I383+[1]OTCHET!I391+[1]OTCHET!I396+[1]OTCHET!I399+[1]OTCHET!I402+[1]OTCHET!I405+[1]OTCHET!I406+[1]OTCHET!I409+[1]OTCHET!I422+[1]OTCHET!I423+[1]OTCHET!I424+[1]OTCHET!I425+[1]OTCHET!I426</f>
        <v>0</v>
      </c>
      <c r="J58" s="307">
        <f>+[1]OTCHET!J383+[1]OTCHET!J391+[1]OTCHET!J396+[1]OTCHET!J399+[1]OTCHET!J402+[1]OTCHET!J405+[1]OTCHET!J406+[1]OTCHET!J409+[1]OTCHET!J422+[1]OTCHET!J423+[1]OTCHET!J424+[1]OTCHET!J425+[1]OTCHET!J426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+[1]OTCHET!E422+[1]OTCHET!E423+[1]OTCHET!E424+[1]OTCHET!E425+[1]OTCHET!E426</f>
        <v>0</v>
      </c>
      <c r="F59" s="309">
        <f t="shared" si="1"/>
        <v>0</v>
      </c>
      <c r="G59" s="310">
        <f>+[1]OTCHET!G422+[1]OTCHET!G423+[1]OTCHET!G424+[1]OTCHET!G425+[1]OTCHET!G426</f>
        <v>0</v>
      </c>
      <c r="H59" s="311">
        <f>+[1]OTCHET!H422+[1]OTCHET!H423+[1]OTCHET!H424+[1]OTCHET!H425+[1]OTCHET!H426</f>
        <v>0</v>
      </c>
      <c r="I59" s="311">
        <f>+[1]OTCHET!I422+[1]OTCHET!I423+[1]OTCHET!I424+[1]OTCHET!I425+[1]OTCHET!I426</f>
        <v>0</v>
      </c>
      <c r="J59" s="312">
        <f>+[1]OTCHET!J422+[1]OTCHET!J423+[1]OTCHET!J424+[1]OTCHET!J425+[1]OTCHET!J426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[1]OTCHET!E405</f>
        <v>0</v>
      </c>
      <c r="F60" s="316">
        <f t="shared" si="1"/>
        <v>0</v>
      </c>
      <c r="G60" s="317">
        <f>[1]OTCHET!G405</f>
        <v>0</v>
      </c>
      <c r="H60" s="318">
        <f>[1]OTCHET!H405</f>
        <v>0</v>
      </c>
      <c r="I60" s="318">
        <f>[1]OTCHET!I405</f>
        <v>0</v>
      </c>
      <c r="J60" s="319">
        <f>[1]OTCHET!J405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[1]OTCHET!E412</f>
        <v>0</v>
      </c>
      <c r="F62" s="199">
        <f t="shared" si="1"/>
        <v>32210</v>
      </c>
      <c r="G62" s="200">
        <f>[1]OTCHET!G412</f>
        <v>0</v>
      </c>
      <c r="H62" s="201">
        <f>[1]OTCHET!H412</f>
        <v>0</v>
      </c>
      <c r="I62" s="201">
        <f>[1]OTCHET!I412</f>
        <v>0</v>
      </c>
      <c r="J62" s="202">
        <f>[1]OTCHET!J412</f>
        <v>32210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+[1]OTCHET!E249</f>
        <v>0</v>
      </c>
      <c r="F63" s="328">
        <f t="shared" si="1"/>
        <v>0</v>
      </c>
      <c r="G63" s="329">
        <f>+[1]OTCHET!G249</f>
        <v>0</v>
      </c>
      <c r="H63" s="330">
        <f>+[1]OTCHET!H249</f>
        <v>0</v>
      </c>
      <c r="I63" s="330">
        <f>+[1]OTCHET!I249</f>
        <v>0</v>
      </c>
      <c r="J63" s="331">
        <f>+[1]OTCHET!J249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4738</v>
      </c>
      <c r="G64" s="337">
        <f t="shared" si="6"/>
        <v>5986</v>
      </c>
      <c r="H64" s="338">
        <f t="shared" si="6"/>
        <v>0</v>
      </c>
      <c r="I64" s="338">
        <f t="shared" si="6"/>
        <v>-1048</v>
      </c>
      <c r="J64" s="339">
        <f t="shared" si="6"/>
        <v>-200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-4738</v>
      </c>
      <c r="G66" s="349">
        <f t="shared" ref="G66:L66" si="8">SUM(+G68+G76+G77+G84+G85+G86+G89+G90+G91+G92+G93+G94+G95)</f>
        <v>-5986</v>
      </c>
      <c r="H66" s="350">
        <f>SUM(+H68+H76+H77+H84+H85+H86+H89+H90+H91+H92+H93+H94+H95)</f>
        <v>0</v>
      </c>
      <c r="I66" s="350">
        <f>SUM(+I68+I76+I77+I84+I85+I86+I89+I90+I91+I92+I93+I94+I95)</f>
        <v>1048</v>
      </c>
      <c r="J66" s="351">
        <f>SUM(+J68+J76+J77+J84+J85+J86+J89+J90+J91+J92+J93+J94+J95)</f>
        <v>200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+[1]OTCHET!E482+[1]OTCHET!E483+[1]OTCHET!E486+[1]OTCHET!E487+[1]OTCHET!E490+[1]OTCHET!E491+[1]OTCHET!E495</f>
        <v>0</v>
      </c>
      <c r="F69" s="367">
        <f t="shared" si="1"/>
        <v>0</v>
      </c>
      <c r="G69" s="368">
        <f>+[1]OTCHET!G482+[1]OTCHET!G483+[1]OTCHET!G486+[1]OTCHET!G487+[1]OTCHET!G490+[1]OTCHET!G491+[1]OTCHET!G495</f>
        <v>0</v>
      </c>
      <c r="H69" s="369">
        <f>+[1]OTCHET!H482+[1]OTCHET!H483+[1]OTCHET!H486+[1]OTCHET!H487+[1]OTCHET!H490+[1]OTCHET!H491+[1]OTCHET!H495</f>
        <v>0</v>
      </c>
      <c r="I69" s="369">
        <f>+[1]OTCHET!I482+[1]OTCHET!I483+[1]OTCHET!I486+[1]OTCHET!I487+[1]OTCHET!I490+[1]OTCHET!I491+[1]OTCHET!I495</f>
        <v>0</v>
      </c>
      <c r="J69" s="370">
        <f>+[1]OTCHET!J482+[1]OTCHET!J483+[1]OTCHET!J486+[1]OTCHET!J487+[1]OTCHET!J490+[1]OTCHET!J491+[1]OTCHET!J495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+[1]OTCHET!E484+[1]OTCHET!E485+[1]OTCHET!E488+[1]OTCHET!E489+[1]OTCHET!E492+[1]OTCHET!E493+[1]OTCHET!E494+[1]OTCHET!E496</f>
        <v>0</v>
      </c>
      <c r="F70" s="375">
        <f t="shared" si="1"/>
        <v>0</v>
      </c>
      <c r="G70" s="376">
        <f>+[1]OTCHET!G484+[1]OTCHET!G485+[1]OTCHET!G488+[1]OTCHET!G489+[1]OTCHET!G492+[1]OTCHET!G493+[1]OTCHET!G494+[1]OTCHET!G496</f>
        <v>0</v>
      </c>
      <c r="H70" s="377">
        <f>+[1]OTCHET!H484+[1]OTCHET!H485+[1]OTCHET!H488+[1]OTCHET!H489+[1]OTCHET!H492+[1]OTCHET!H493+[1]OTCHET!H494+[1]OTCHET!H496</f>
        <v>0</v>
      </c>
      <c r="I70" s="377">
        <f>+[1]OTCHET!I484+[1]OTCHET!I485+[1]OTCHET!I488+[1]OTCHET!I489+[1]OTCHET!I492+[1]OTCHET!I493+[1]OTCHET!I494+[1]OTCHET!I496</f>
        <v>0</v>
      </c>
      <c r="J70" s="378">
        <f>+[1]OTCHET!J484+[1]OTCHET!J485+[1]OTCHET!J488+[1]OTCHET!J489+[1]OTCHET!J492+[1]OTCHET!J493+[1]OTCHET!J494+[1]OTCHET!J496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+[1]OTCHET!E497</f>
        <v>0</v>
      </c>
      <c r="F71" s="375">
        <f t="shared" si="1"/>
        <v>0</v>
      </c>
      <c r="G71" s="376">
        <f>+[1]OTCHET!G497</f>
        <v>0</v>
      </c>
      <c r="H71" s="377">
        <f>+[1]OTCHET!H497</f>
        <v>0</v>
      </c>
      <c r="I71" s="377">
        <f>+[1]OTCHET!I497</f>
        <v>0</v>
      </c>
      <c r="J71" s="378">
        <f>+[1]OTCHET!J497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+[1]OTCHET!E502</f>
        <v>0</v>
      </c>
      <c r="F72" s="375">
        <f t="shared" si="1"/>
        <v>0</v>
      </c>
      <c r="G72" s="376">
        <f>+[1]OTCHET!G502</f>
        <v>0</v>
      </c>
      <c r="H72" s="377">
        <f>+[1]OTCHET!H502</f>
        <v>0</v>
      </c>
      <c r="I72" s="377">
        <f>+[1]OTCHET!I502</f>
        <v>0</v>
      </c>
      <c r="J72" s="378">
        <f>+[1]OTCHET!J502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+[1]OTCHET!E542</f>
        <v>0</v>
      </c>
      <c r="F73" s="375">
        <f t="shared" si="1"/>
        <v>0</v>
      </c>
      <c r="G73" s="376">
        <f>+[1]OTCHET!G542</f>
        <v>0</v>
      </c>
      <c r="H73" s="377">
        <f>+[1]OTCHET!H542</f>
        <v>0</v>
      </c>
      <c r="I73" s="377">
        <f>+[1]OTCHET!I542</f>
        <v>0</v>
      </c>
      <c r="J73" s="378">
        <f>+[1]OTCHET!J542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+[1]OTCHET!E581+[1]OTCHET!E582</f>
        <v>0</v>
      </c>
      <c r="F74" s="375">
        <f t="shared" si="1"/>
        <v>0</v>
      </c>
      <c r="G74" s="376">
        <f>+[1]OTCHET!G581+[1]OTCHET!G582</f>
        <v>0</v>
      </c>
      <c r="H74" s="377">
        <f>+[1]OTCHET!H581+[1]OTCHET!H582</f>
        <v>0</v>
      </c>
      <c r="I74" s="377">
        <f>+[1]OTCHET!I581+[1]OTCHET!I582</f>
        <v>0</v>
      </c>
      <c r="J74" s="378">
        <f>+[1]OTCHET!J581+[1]OTCHET!J582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+[1]OTCHET!E583+[1]OTCHET!E584+[1]OTCHET!E585</f>
        <v>0</v>
      </c>
      <c r="F75" s="382">
        <f t="shared" si="1"/>
        <v>0</v>
      </c>
      <c r="G75" s="383">
        <f>+[1]OTCHET!G583+[1]OTCHET!G584+[1]OTCHET!G585</f>
        <v>0</v>
      </c>
      <c r="H75" s="384">
        <f>+[1]OTCHET!H583+[1]OTCHET!H584+[1]OTCHET!H585</f>
        <v>0</v>
      </c>
      <c r="I75" s="384">
        <f>+[1]OTCHET!I583+[1]OTCHET!I584+[1]OTCHET!I585</f>
        <v>0</v>
      </c>
      <c r="J75" s="385">
        <f>+[1]OTCHET!J583+[1]OTCHET!J584+[1]OTCHET!J585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[1]OTCHET!E461</f>
        <v>0</v>
      </c>
      <c r="F76" s="299">
        <f t="shared" si="1"/>
        <v>0</v>
      </c>
      <c r="G76" s="300">
        <f>[1]OTCHET!G461</f>
        <v>0</v>
      </c>
      <c r="H76" s="301">
        <f>[1]OTCHET!H461</f>
        <v>0</v>
      </c>
      <c r="I76" s="301">
        <f>[1]OTCHET!I461</f>
        <v>0</v>
      </c>
      <c r="J76" s="302">
        <f>[1]OTCHET!J461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+[1]OTCHET!E466+[1]OTCHET!E469</f>
        <v>0</v>
      </c>
      <c r="F78" s="367">
        <f t="shared" si="1"/>
        <v>0</v>
      </c>
      <c r="G78" s="368">
        <f>+[1]OTCHET!G466+[1]OTCHET!G469</f>
        <v>0</v>
      </c>
      <c r="H78" s="369">
        <f>+[1]OTCHET!H466+[1]OTCHET!H469</f>
        <v>0</v>
      </c>
      <c r="I78" s="369">
        <f>+[1]OTCHET!I466+[1]OTCHET!I469</f>
        <v>0</v>
      </c>
      <c r="J78" s="370">
        <f>+[1]OTCHET!J466+[1]OTCHET!J469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+[1]OTCHET!E467+[1]OTCHET!E470</f>
        <v>0</v>
      </c>
      <c r="F79" s="375">
        <f t="shared" si="1"/>
        <v>0</v>
      </c>
      <c r="G79" s="376">
        <f>+[1]OTCHET!G467+[1]OTCHET!G470</f>
        <v>0</v>
      </c>
      <c r="H79" s="377">
        <f>+[1]OTCHET!H467+[1]OTCHET!H470</f>
        <v>0</v>
      </c>
      <c r="I79" s="377">
        <f>+[1]OTCHET!I467+[1]OTCHET!I470</f>
        <v>0</v>
      </c>
      <c r="J79" s="378">
        <f>+[1]OTCHET!J467+[1]OTCHET!J470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[1]OTCHET!E471</f>
        <v>0</v>
      </c>
      <c r="F80" s="375">
        <f t="shared" si="1"/>
        <v>0</v>
      </c>
      <c r="G80" s="376">
        <f>[1]OTCHET!G471</f>
        <v>0</v>
      </c>
      <c r="H80" s="377">
        <f>[1]OTCHET!H471</f>
        <v>0</v>
      </c>
      <c r="I80" s="377">
        <f>[1]OTCHET!I471</f>
        <v>0</v>
      </c>
      <c r="J80" s="378">
        <f>[1]OTCHET!J471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+[1]OTCHET!E479</f>
        <v>0</v>
      </c>
      <c r="F82" s="375">
        <f t="shared" si="1"/>
        <v>0</v>
      </c>
      <c r="G82" s="376">
        <f>+[1]OTCHET!G479</f>
        <v>0</v>
      </c>
      <c r="H82" s="377">
        <f>+[1]OTCHET!H479</f>
        <v>0</v>
      </c>
      <c r="I82" s="377">
        <f>+[1]OTCHET!I479</f>
        <v>0</v>
      </c>
      <c r="J82" s="378">
        <f>+[1]OTCHET!J479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+[1]OTCHET!E480</f>
        <v>0</v>
      </c>
      <c r="F83" s="382">
        <f t="shared" si="1"/>
        <v>0</v>
      </c>
      <c r="G83" s="383">
        <f>+[1]OTCHET!G480</f>
        <v>0</v>
      </c>
      <c r="H83" s="384">
        <f>+[1]OTCHET!H480</f>
        <v>0</v>
      </c>
      <c r="I83" s="384">
        <f>+[1]OTCHET!I480</f>
        <v>0</v>
      </c>
      <c r="J83" s="385">
        <f>+[1]OTCHET!J480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[1]OTCHET!E535</f>
        <v>0</v>
      </c>
      <c r="F84" s="299">
        <f t="shared" si="1"/>
        <v>0</v>
      </c>
      <c r="G84" s="300">
        <f>[1]OTCHET!G535</f>
        <v>0</v>
      </c>
      <c r="H84" s="301">
        <f>[1]OTCHET!H535</f>
        <v>0</v>
      </c>
      <c r="I84" s="301">
        <f>[1]OTCHET!I535</f>
        <v>0</v>
      </c>
      <c r="J84" s="302">
        <f>[1]OTCHET!J535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[1]OTCHET!E536</f>
        <v>0</v>
      </c>
      <c r="F85" s="304">
        <f t="shared" si="1"/>
        <v>0</v>
      </c>
      <c r="G85" s="305">
        <f>[1]OTCHET!G536</f>
        <v>0</v>
      </c>
      <c r="H85" s="306">
        <f>[1]OTCHET!H536</f>
        <v>0</v>
      </c>
      <c r="I85" s="306">
        <f>[1]OTCHET!I536</f>
        <v>0</v>
      </c>
      <c r="J85" s="307">
        <f>[1]OTCHET!J536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-4486</v>
      </c>
      <c r="G86" s="310">
        <f t="shared" ref="G86:M86" si="11">+G87+G88</f>
        <v>-4686</v>
      </c>
      <c r="H86" s="311">
        <f>+H87+H88</f>
        <v>0</v>
      </c>
      <c r="I86" s="311">
        <f>+I87+I88</f>
        <v>0</v>
      </c>
      <c r="J86" s="312">
        <f>+J87+J88</f>
        <v>200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+[1]OTCHET!E503+[1]OTCHET!E512+[1]OTCHET!E516+[1]OTCHET!E543</f>
        <v>0</v>
      </c>
      <c r="F87" s="367">
        <f t="shared" si="1"/>
        <v>0</v>
      </c>
      <c r="G87" s="368">
        <f>+[1]OTCHET!G503+[1]OTCHET!G512+[1]OTCHET!G516+[1]OTCHET!G543</f>
        <v>0</v>
      </c>
      <c r="H87" s="369">
        <f>+[1]OTCHET!H503+[1]OTCHET!H512+[1]OTCHET!H516+[1]OTCHET!H543</f>
        <v>0</v>
      </c>
      <c r="I87" s="369">
        <f>+[1]OTCHET!I503+[1]OTCHET!I512+[1]OTCHET!I516+[1]OTCHET!I543</f>
        <v>0</v>
      </c>
      <c r="J87" s="370">
        <f>+[1]OTCHET!J503+[1]OTCHET!J512+[1]OTCHET!J516+[1]OTCHET!J543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+[1]OTCHET!E521+[1]OTCHET!E524+[1]OTCHET!E544</f>
        <v>0</v>
      </c>
      <c r="F88" s="382">
        <f t="shared" si="1"/>
        <v>-4486</v>
      </c>
      <c r="G88" s="383">
        <f>+[1]OTCHET!G521+[1]OTCHET!G524+[1]OTCHET!G544</f>
        <v>-4686</v>
      </c>
      <c r="H88" s="384">
        <f>+[1]OTCHET!H521+[1]OTCHET!H524+[1]OTCHET!H544</f>
        <v>0</v>
      </c>
      <c r="I88" s="384">
        <f>+[1]OTCHET!I521+[1]OTCHET!I524+[1]OTCHET!I544</f>
        <v>0</v>
      </c>
      <c r="J88" s="385">
        <f>+[1]OTCHET!J521+[1]OTCHET!J524+[1]OTCHET!J544</f>
        <v>200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[1]OTCHET!E531</f>
        <v>0</v>
      </c>
      <c r="F89" s="299">
        <f t="shared" ref="F89:F96" si="12">+G89+H89+I89+J89</f>
        <v>0</v>
      </c>
      <c r="G89" s="300">
        <f>[1]OTCHET!G531</f>
        <v>0</v>
      </c>
      <c r="H89" s="301">
        <f>[1]OTCHET!H531</f>
        <v>0</v>
      </c>
      <c r="I89" s="301">
        <f>[1]OTCHET!I531</f>
        <v>0</v>
      </c>
      <c r="J89" s="302">
        <f>[1]OTCHET!J531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+[1]OTCHET!E567+[1]OTCHET!E568+[1]OTCHET!E569+[1]OTCHET!E570+[1]OTCHET!E571+[1]OTCHET!E572</f>
        <v>0</v>
      </c>
      <c r="F90" s="304">
        <f t="shared" si="12"/>
        <v>0</v>
      </c>
      <c r="G90" s="305">
        <f>+[1]OTCHET!G567+[1]OTCHET!G568+[1]OTCHET!G569+[1]OTCHET!G570+[1]OTCHET!G571+[1]OTCHET!G572</f>
        <v>0</v>
      </c>
      <c r="H90" s="306">
        <f>+[1]OTCHET!H567+[1]OTCHET!H568+[1]OTCHET!H569+[1]OTCHET!H570+[1]OTCHET!H571+[1]OTCHET!H572</f>
        <v>0</v>
      </c>
      <c r="I90" s="306">
        <f>+[1]OTCHET!I567+[1]OTCHET!I568+[1]OTCHET!I569+[1]OTCHET!I570+[1]OTCHET!I571+[1]OTCHET!I572</f>
        <v>0</v>
      </c>
      <c r="J90" s="307">
        <f>+[1]OTCHET!J567+[1]OTCHET!J568+[1]OTCHET!J569+[1]OTCHET!J570+[1]OTCHET!J571+[1]OTCHET!J572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+[1]OTCHET!E573+[1]OTCHET!E574+[1]OTCHET!E575+[1]OTCHET!E576+[1]OTCHET!E577+[1]OTCHET!E578+[1]OTCHET!E579</f>
        <v>0</v>
      </c>
      <c r="F91" s="168">
        <f t="shared" si="12"/>
        <v>-252</v>
      </c>
      <c r="G91" s="169">
        <f>+[1]OTCHET!G573+[1]OTCHET!G574+[1]OTCHET!G575+[1]OTCHET!G576+[1]OTCHET!G577+[1]OTCHET!G578+[1]OTCHET!G579</f>
        <v>0</v>
      </c>
      <c r="H91" s="170">
        <f>+[1]OTCHET!H573+[1]OTCHET!H574+[1]OTCHET!H575+[1]OTCHET!H576+[1]OTCHET!H577+[1]OTCHET!H578+[1]OTCHET!H579</f>
        <v>0</v>
      </c>
      <c r="I91" s="170">
        <f>+[1]OTCHET!I573+[1]OTCHET!I574+[1]OTCHET!I575+[1]OTCHET!I576+[1]OTCHET!I577+[1]OTCHET!I578+[1]OTCHET!I579</f>
        <v>-252</v>
      </c>
      <c r="J91" s="171">
        <f>+[1]OTCHET!J573+[1]OTCHET!J574+[1]OTCHET!J575+[1]OTCHET!J576+[1]OTCHET!J577+[1]OTCHET!J578+[1]OTCHET!J579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+[1]OTCHET!E580</f>
        <v>0</v>
      </c>
      <c r="F92" s="168">
        <f t="shared" si="12"/>
        <v>0</v>
      </c>
      <c r="G92" s="169">
        <f>+[1]OTCHET!G580</f>
        <v>0</v>
      </c>
      <c r="H92" s="170">
        <f>+[1]OTCHET!H580</f>
        <v>0</v>
      </c>
      <c r="I92" s="170">
        <f>+[1]OTCHET!I580</f>
        <v>0</v>
      </c>
      <c r="J92" s="171">
        <f>+[1]OTCHET!J580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+[1]OTCHET!E587+[1]OTCHET!E588</f>
        <v>0</v>
      </c>
      <c r="F93" s="168">
        <f t="shared" si="12"/>
        <v>0</v>
      </c>
      <c r="G93" s="169">
        <f>+[1]OTCHET!G587+[1]OTCHET!G588</f>
        <v>0</v>
      </c>
      <c r="H93" s="170">
        <f>+[1]OTCHET!H587+[1]OTCHET!H588</f>
        <v>0</v>
      </c>
      <c r="I93" s="170">
        <f>+[1]OTCHET!I587+[1]OTCHET!I588</f>
        <v>0</v>
      </c>
      <c r="J93" s="171">
        <f>+[1]OTCHET!J587+[1]OTCHET!J588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+[1]OTCHET!E589+[1]OTCHET!E590</f>
        <v>0</v>
      </c>
      <c r="F94" s="168">
        <f t="shared" si="12"/>
        <v>0</v>
      </c>
      <c r="G94" s="169">
        <f>+[1]OTCHET!G589+[1]OTCHET!G590</f>
        <v>0</v>
      </c>
      <c r="H94" s="170">
        <f>+[1]OTCHET!H589+[1]OTCHET!H590</f>
        <v>0</v>
      </c>
      <c r="I94" s="170">
        <f>+[1]OTCHET!I589+[1]OTCHET!I590</f>
        <v>0</v>
      </c>
      <c r="J94" s="171">
        <f>+[1]OTCHET!J589+[1]OTCHET!J590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[1]OTCHET!E591</f>
        <v>0</v>
      </c>
      <c r="F95" s="120">
        <f t="shared" si="12"/>
        <v>0</v>
      </c>
      <c r="G95" s="121">
        <f>[1]OTCHET!G591</f>
        <v>-1300</v>
      </c>
      <c r="H95" s="122">
        <f>[1]OTCHET!H591</f>
        <v>0</v>
      </c>
      <c r="I95" s="122">
        <f>[1]OTCHET!I591</f>
        <v>1300</v>
      </c>
      <c r="J95" s="123">
        <f>[1]OTCHET!J591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+[1]OTCHET!E594</f>
        <v>0</v>
      </c>
      <c r="F96" s="396">
        <f t="shared" si="12"/>
        <v>0</v>
      </c>
      <c r="G96" s="397">
        <f>+[1]OTCHET!G594</f>
        <v>0</v>
      </c>
      <c r="H96" s="398">
        <f>+[1]OTCHET!H594</f>
        <v>0</v>
      </c>
      <c r="I96" s="398">
        <f>+[1]OTCHET!I594</f>
        <v>0</v>
      </c>
      <c r="J96" s="399">
        <f>+[1]OTCHET!J594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+[1]OTCHET!H605</f>
        <v>0</v>
      </c>
      <c r="C107" s="421"/>
      <c r="D107" s="421"/>
      <c r="E107" s="426"/>
      <c r="F107" s="19"/>
      <c r="G107" s="427">
        <f>+[1]OTCHET!E605</f>
        <v>0</v>
      </c>
      <c r="H107" s="427">
        <f>+[1]OTCHET!F605</f>
        <v>0</v>
      </c>
      <c r="I107" s="428"/>
      <c r="J107" s="429" t="str">
        <f>+[1]OTCHET!B605</f>
        <v>31.01.2023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51" priority="21" stopIfTrue="1" operator="notEqual">
      <formula>0</formula>
    </cfRule>
  </conditionalFormatting>
  <conditionalFormatting sqref="E105:J105">
    <cfRule type="cellIs" dxfId="250" priority="20" stopIfTrue="1" operator="notEqual">
      <formula>0</formula>
    </cfRule>
  </conditionalFormatting>
  <conditionalFormatting sqref="G107:H107 B107">
    <cfRule type="cellIs" dxfId="249" priority="19" stopIfTrue="1" operator="equal">
      <formula>0</formula>
    </cfRule>
  </conditionalFormatting>
  <conditionalFormatting sqref="I114 E110">
    <cfRule type="cellIs" dxfId="248" priority="18" stopIfTrue="1" operator="equal">
      <formula>0</formula>
    </cfRule>
  </conditionalFormatting>
  <conditionalFormatting sqref="J107">
    <cfRule type="cellIs" dxfId="247" priority="17" stopIfTrue="1" operator="equal">
      <formula>0</formula>
    </cfRule>
  </conditionalFormatting>
  <conditionalFormatting sqref="E114:F114">
    <cfRule type="cellIs" dxfId="246" priority="16" stopIfTrue="1" operator="equal">
      <formula>0</formula>
    </cfRule>
  </conditionalFormatting>
  <conditionalFormatting sqref="F15">
    <cfRule type="cellIs" dxfId="245" priority="11" stopIfTrue="1" operator="equal">
      <formula>"Чужди средства"</formula>
    </cfRule>
    <cfRule type="cellIs" dxfId="244" priority="12" stopIfTrue="1" operator="equal">
      <formula>"СЕС - ДМП"</formula>
    </cfRule>
    <cfRule type="cellIs" dxfId="243" priority="13" stopIfTrue="1" operator="equal">
      <formula>"СЕС - РА"</formula>
    </cfRule>
    <cfRule type="cellIs" dxfId="242" priority="14" stopIfTrue="1" operator="equal">
      <formula>"СЕС - ДЕС"</formula>
    </cfRule>
    <cfRule type="cellIs" dxfId="241" priority="15" stopIfTrue="1" operator="equal">
      <formula>"СЕС - КСФ"</formula>
    </cfRule>
  </conditionalFormatting>
  <conditionalFormatting sqref="B105">
    <cfRule type="cellIs" dxfId="240" priority="10" stopIfTrue="1" operator="notEqual">
      <formula>0</formula>
    </cfRule>
  </conditionalFormatting>
  <conditionalFormatting sqref="I11:J11">
    <cfRule type="cellIs" dxfId="239" priority="6" stopIfTrue="1" operator="between">
      <formula>1000000000000</formula>
      <formula>9999999999999990</formula>
    </cfRule>
    <cfRule type="cellIs" dxfId="238" priority="7" stopIfTrue="1" operator="between">
      <formula>10000000000</formula>
      <formula>999999999999</formula>
    </cfRule>
    <cfRule type="cellIs" dxfId="237" priority="8" stopIfTrue="1" operator="between">
      <formula>1000000</formula>
      <formula>99999999</formula>
    </cfRule>
    <cfRule type="cellIs" dxfId="236" priority="9" stopIfTrue="1" operator="between">
      <formula>100</formula>
      <formula>9999</formula>
    </cfRule>
  </conditionalFormatting>
  <conditionalFormatting sqref="E15">
    <cfRule type="cellIs" dxfId="235" priority="1" stopIfTrue="1" operator="equal">
      <formula>"Чужди средства"</formula>
    </cfRule>
    <cfRule type="cellIs" dxfId="234" priority="2" stopIfTrue="1" operator="equal">
      <formula>"СЕС - ДМП"</formula>
    </cfRule>
    <cfRule type="cellIs" dxfId="233" priority="3" stopIfTrue="1" operator="equal">
      <formula>"СЕС - РА"</formula>
    </cfRule>
    <cfRule type="cellIs" dxfId="232" priority="4" stopIfTrue="1" operator="equal">
      <formula>"СЕС - ДЕС"</formula>
    </cfRule>
    <cfRule type="cellIs" dxfId="23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+[10]OTCHET!B9</f>
        <v>РИОСВ - ПЛОВДИВ</v>
      </c>
      <c r="C11" s="22"/>
      <c r="D11" s="22"/>
      <c r="E11" s="23" t="s">
        <v>0</v>
      </c>
      <c r="F11" s="24">
        <f>[10]OTCHET!F9</f>
        <v>45230</v>
      </c>
      <c r="G11" s="25" t="s">
        <v>1</v>
      </c>
      <c r="H11" s="26">
        <f>+[10]OTCHET!H9</f>
        <v>471013</v>
      </c>
      <c r="I11" s="448">
        <f>+[10]OTCHET!I9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+[10]OTCHET!B12</f>
        <v>Министерство на околната среда и водите</v>
      </c>
      <c r="C13" s="31"/>
      <c r="D13" s="31"/>
      <c r="E13" s="35" t="str">
        <f>+[10]OTCHET!E12</f>
        <v>код по ЕБК:</v>
      </c>
      <c r="F13" s="36" t="str">
        <f>+[10]OTCHET!F12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+[10]OTCHET!E15</f>
        <v>0</v>
      </c>
      <c r="F15" s="41" t="str">
        <f>[10]OTCHET!F15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170000</v>
      </c>
      <c r="F22" s="102">
        <f t="shared" si="0"/>
        <v>119908</v>
      </c>
      <c r="G22" s="103">
        <f t="shared" si="0"/>
        <v>140308</v>
      </c>
      <c r="H22" s="104">
        <f t="shared" si="0"/>
        <v>0</v>
      </c>
      <c r="I22" s="104">
        <f t="shared" si="0"/>
        <v>0</v>
      </c>
      <c r="J22" s="105">
        <f t="shared" si="0"/>
        <v>-20400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[10]OTCHET!E22+[10]OTCHET!E28+[10]OTCHET!E33+[10]OTCHET!E39+[10]OTCHET!E47+[10]OTCHET!E52+[10]OTCHET!E58+[10]OTCHET!E61+[10]OTCHET!E64+[10]OTCHET!E65+[10]OTCHET!E72+[10]OTCHET!E73</f>
        <v>0</v>
      </c>
      <c r="F23" s="111">
        <f t="shared" ref="F23:F88" si="1">+G23+H23+I23+J23</f>
        <v>0</v>
      </c>
      <c r="G23" s="112">
        <f>[10]OTCHET!G22+[10]OTCHET!G28+[10]OTCHET!G33+[10]OTCHET!G39+[10]OTCHET!G47+[10]OTCHET!G52+[10]OTCHET!G58+[10]OTCHET!G61+[10]OTCHET!G64+[10]OTCHET!G65+[10]OTCHET!G72+[10]OTCHET!G73</f>
        <v>0</v>
      </c>
      <c r="H23" s="113">
        <f>[10]OTCHET!H22+[10]OTCHET!H28+[10]OTCHET!H33+[10]OTCHET!H39+[10]OTCHET!H47+[10]OTCHET!H52+[10]OTCHET!H58+[10]OTCHET!H61+[10]OTCHET!H64+[10]OTCHET!H65+[10]OTCHET!H72+[10]OTCHET!H73</f>
        <v>0</v>
      </c>
      <c r="I23" s="113">
        <f>[10]OTCHET!I22+[10]OTCHET!I28+[10]OTCHET!I33+[10]OTCHET!I39+[10]OTCHET!I47+[10]OTCHET!I52+[10]OTCHET!I58+[10]OTCHET!I61+[10]OTCHET!I64+[10]OTCHET!I65+[10]OTCHET!I72+[10]OTCHET!I73</f>
        <v>0</v>
      </c>
      <c r="J23" s="114">
        <f>[10]OTCHET!J22+[10]OTCHET!J28+[10]OTCHET!J33+[10]OTCHET!J39+[10]OTCHET!J47+[10]OTCHET!J52+[10]OTCHET!J58+[10]OTCHET!J61+[10]OTCHET!J64+[10]OTCHET!J65+[10]OTCHET!J72+[10]OTCHET!J73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170000</v>
      </c>
      <c r="F25" s="127">
        <f>+F26+F30+F31+F32+F33</f>
        <v>119908</v>
      </c>
      <c r="G25" s="128">
        <f t="shared" ref="G25:M25" si="2">+G26+G30+G31+G32+G33</f>
        <v>140308</v>
      </c>
      <c r="H25" s="129">
        <f>+H26+H30+H31+H32+H33</f>
        <v>0</v>
      </c>
      <c r="I25" s="129">
        <f>+I26+I30+I31+I32+I33</f>
        <v>0</v>
      </c>
      <c r="J25" s="130">
        <f>+J26+J30+J31+J32+J33</f>
        <v>-20400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[10]OTCHET!E74</f>
        <v>0</v>
      </c>
      <c r="F26" s="133">
        <f t="shared" si="1"/>
        <v>0</v>
      </c>
      <c r="G26" s="134">
        <f>[10]OTCHET!G74</f>
        <v>0</v>
      </c>
      <c r="H26" s="135">
        <f>[10]OTCHET!H74</f>
        <v>0</v>
      </c>
      <c r="I26" s="135">
        <f>[10]OTCHET!I74</f>
        <v>0</v>
      </c>
      <c r="J26" s="136">
        <f>[10]OTCHET!J74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[10]OTCHET!E75</f>
        <v>0</v>
      </c>
      <c r="F27" s="140">
        <f t="shared" si="1"/>
        <v>0</v>
      </c>
      <c r="G27" s="141">
        <f>[10]OTCHET!G75</f>
        <v>0</v>
      </c>
      <c r="H27" s="142">
        <f>[10]OTCHET!H75</f>
        <v>0</v>
      </c>
      <c r="I27" s="142">
        <f>[10]OTCHET!I75</f>
        <v>0</v>
      </c>
      <c r="J27" s="143">
        <f>[10]OTCHET!J75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[10]OTCHET!E77</f>
        <v>0</v>
      </c>
      <c r="F28" s="148">
        <f t="shared" si="1"/>
        <v>0</v>
      </c>
      <c r="G28" s="149">
        <f>[10]OTCHET!G77</f>
        <v>0</v>
      </c>
      <c r="H28" s="150">
        <f>[10]OTCHET!H77</f>
        <v>0</v>
      </c>
      <c r="I28" s="150">
        <f>[10]OTCHET!I77</f>
        <v>0</v>
      </c>
      <c r="J28" s="151">
        <f>[10]OTCHET!J77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+[10]OTCHET!E78+[10]OTCHET!E79</f>
        <v>0</v>
      </c>
      <c r="F29" s="156">
        <f t="shared" si="1"/>
        <v>0</v>
      </c>
      <c r="G29" s="157">
        <f>+[10]OTCHET!G78+[10]OTCHET!G79</f>
        <v>0</v>
      </c>
      <c r="H29" s="158">
        <f>+[10]OTCHET!H78+[10]OTCHET!H79</f>
        <v>0</v>
      </c>
      <c r="I29" s="158">
        <f>+[10]OTCHET!I78+[10]OTCHET!I79</f>
        <v>0</v>
      </c>
      <c r="J29" s="159">
        <f>+[10]OTCHET!J78+[10]OTCHET!J79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[10]OTCHET!E90+[10]OTCHET!E93+[10]OTCHET!E94</f>
        <v>140000</v>
      </c>
      <c r="F30" s="162">
        <f t="shared" si="1"/>
        <v>128237</v>
      </c>
      <c r="G30" s="163">
        <f>[10]OTCHET!G90+[10]OTCHET!G93+[10]OTCHET!G94</f>
        <v>128237</v>
      </c>
      <c r="H30" s="164">
        <f>[10]OTCHET!H90+[10]OTCHET!H93+[10]OTCHET!H94</f>
        <v>0</v>
      </c>
      <c r="I30" s="164">
        <f>[10]OTCHET!I90+[10]OTCHET!I93+[10]OTCHET!I94</f>
        <v>0</v>
      </c>
      <c r="J30" s="165">
        <f>[10]OTCHET!J90+[10]OTCHET!J93+[10]OTCHET!J94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[10]OTCHET!E106</f>
        <v>30000</v>
      </c>
      <c r="F31" s="168">
        <f t="shared" si="1"/>
        <v>11936</v>
      </c>
      <c r="G31" s="169">
        <f>[10]OTCHET!G106</f>
        <v>10089</v>
      </c>
      <c r="H31" s="170">
        <f>[10]OTCHET!H106</f>
        <v>0</v>
      </c>
      <c r="I31" s="170">
        <f>[10]OTCHET!I106</f>
        <v>0</v>
      </c>
      <c r="J31" s="171">
        <f>[10]OTCHET!J106</f>
        <v>1847</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[10]OTCHET!E110+[10]OTCHET!E119+[10]OTCHET!E135+[10]OTCHET!E136</f>
        <v>0</v>
      </c>
      <c r="F32" s="168">
        <f t="shared" si="1"/>
        <v>-20265</v>
      </c>
      <c r="G32" s="169">
        <f>[10]OTCHET!G110+[10]OTCHET!G119+[10]OTCHET!G135+[10]OTCHET!G136</f>
        <v>1982</v>
      </c>
      <c r="H32" s="170">
        <f>[10]OTCHET!H110+[10]OTCHET!H119+[10]OTCHET!H135+[10]OTCHET!H136</f>
        <v>0</v>
      </c>
      <c r="I32" s="170">
        <f>[10]OTCHET!I110+[10]OTCHET!I119+[10]OTCHET!I135+[10]OTCHET!I136</f>
        <v>0</v>
      </c>
      <c r="J32" s="171">
        <f>[10]OTCHET!J110+[10]OTCHET!J119+[10]OTCHET!J135+[10]OTCHET!J136</f>
        <v>-22247</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[10]OTCHET!E123</f>
        <v>0</v>
      </c>
      <c r="F33" s="120">
        <f t="shared" si="1"/>
        <v>0</v>
      </c>
      <c r="G33" s="121">
        <f>[10]OTCHET!G123</f>
        <v>0</v>
      </c>
      <c r="H33" s="122">
        <f>[10]OTCHET!H123</f>
        <v>0</v>
      </c>
      <c r="I33" s="122">
        <f>[10]OTCHET!I123</f>
        <v>0</v>
      </c>
      <c r="J33" s="123">
        <f>[10]OTCHET!J123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+[10]OTCHET!E137</f>
        <v>0</v>
      </c>
      <c r="F36" s="191">
        <f t="shared" si="1"/>
        <v>0</v>
      </c>
      <c r="G36" s="192">
        <f>+[10]OTCHET!G137</f>
        <v>0</v>
      </c>
      <c r="H36" s="193">
        <f>+[10]OTCHET!H137</f>
        <v>0</v>
      </c>
      <c r="I36" s="193">
        <f>+[10]OTCHET!I137</f>
        <v>0</v>
      </c>
      <c r="J36" s="194">
        <f>+[10]OTCHET!J137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[10]OTCHET!E140+[10]OTCHET!E149+[10]OTCHET!E158</f>
        <v>0</v>
      </c>
      <c r="F37" s="199">
        <f t="shared" si="1"/>
        <v>0</v>
      </c>
      <c r="G37" s="200">
        <f>[10]OTCHET!G140+[10]OTCHET!G149+[10]OTCHET!G158</f>
        <v>0</v>
      </c>
      <c r="H37" s="201">
        <f>[10]OTCHET!H140+[10]OTCHET!H149+[10]OTCHET!H158</f>
        <v>0</v>
      </c>
      <c r="I37" s="201">
        <f>[10]OTCHET!I140+[10]OTCHET!I149+[10]OTCHET!I158</f>
        <v>0</v>
      </c>
      <c r="J37" s="202">
        <f>[10]OTCHET!J140+[10]OTCHET!J149+[10]OTCHET!J158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1229929</v>
      </c>
      <c r="F38" s="209">
        <f t="shared" si="3"/>
        <v>1069365</v>
      </c>
      <c r="G38" s="210">
        <f t="shared" si="3"/>
        <v>774722</v>
      </c>
      <c r="H38" s="211">
        <f t="shared" si="3"/>
        <v>0</v>
      </c>
      <c r="I38" s="211">
        <f t="shared" si="3"/>
        <v>3781</v>
      </c>
      <c r="J38" s="212">
        <f t="shared" si="3"/>
        <v>290862</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1040392</v>
      </c>
      <c r="F39" s="221">
        <f t="shared" si="4"/>
        <v>939856</v>
      </c>
      <c r="G39" s="222">
        <f t="shared" si="4"/>
        <v>648994</v>
      </c>
      <c r="H39" s="223">
        <f t="shared" si="4"/>
        <v>0</v>
      </c>
      <c r="I39" s="223">
        <f t="shared" si="4"/>
        <v>0</v>
      </c>
      <c r="J39" s="224">
        <f t="shared" si="4"/>
        <v>290862</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[10]OTCHET!E187</f>
        <v>741733</v>
      </c>
      <c r="F40" s="229">
        <f t="shared" si="1"/>
        <v>669426</v>
      </c>
      <c r="G40" s="230">
        <f>[10]OTCHET!G187</f>
        <v>593120</v>
      </c>
      <c r="H40" s="231">
        <f>[10]OTCHET!H187</f>
        <v>0</v>
      </c>
      <c r="I40" s="231">
        <f>[10]OTCHET!I187</f>
        <v>0</v>
      </c>
      <c r="J40" s="232">
        <f>[10]OTCHET!J187</f>
        <v>76306</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[10]OTCHET!E190</f>
        <v>63748</v>
      </c>
      <c r="F41" s="237">
        <f t="shared" si="1"/>
        <v>59467</v>
      </c>
      <c r="G41" s="238">
        <f>[10]OTCHET!G190</f>
        <v>55874</v>
      </c>
      <c r="H41" s="239">
        <f>[10]OTCHET!H190</f>
        <v>0</v>
      </c>
      <c r="I41" s="239">
        <f>[10]OTCHET!I190</f>
        <v>0</v>
      </c>
      <c r="J41" s="240">
        <f>[10]OTCHET!J190</f>
        <v>3593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+[10]OTCHET!E196+[10]OTCHET!E204</f>
        <v>234911</v>
      </c>
      <c r="F42" s="244">
        <f t="shared" si="1"/>
        <v>210963</v>
      </c>
      <c r="G42" s="245">
        <f>+[10]OTCHET!G196+[10]OTCHET!G204</f>
        <v>0</v>
      </c>
      <c r="H42" s="246">
        <f>+[10]OTCHET!H196+[10]OTCHET!H204</f>
        <v>0</v>
      </c>
      <c r="I42" s="246">
        <f>+[10]OTCHET!I196+[10]OTCHET!I204</f>
        <v>0</v>
      </c>
      <c r="J42" s="247">
        <f>+[10]OTCHET!J196+[10]OTCHET!J204</f>
        <v>210963</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+[10]OTCHET!E205+[10]OTCHET!E223+[10]OTCHET!E271</f>
        <v>184937</v>
      </c>
      <c r="F43" s="250">
        <f t="shared" si="1"/>
        <v>125241</v>
      </c>
      <c r="G43" s="251">
        <f>+[10]OTCHET!G205+[10]OTCHET!G223+[10]OTCHET!G271</f>
        <v>121460</v>
      </c>
      <c r="H43" s="252">
        <f>+[10]OTCHET!H205+[10]OTCHET!H223+[10]OTCHET!H271</f>
        <v>0</v>
      </c>
      <c r="I43" s="252">
        <f>+[10]OTCHET!I205+[10]OTCHET!I223+[10]OTCHET!I271</f>
        <v>3781</v>
      </c>
      <c r="J43" s="253">
        <f>+[10]OTCHET!J205+[10]OTCHET!J223+[10]OTCHET!J271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+[10]OTCHET!E227+[10]OTCHET!E233+[10]OTCHET!E236+[10]OTCHET!E237+[10]OTCHET!E238+[10]OTCHET!E239+[10]OTCHET!E240</f>
        <v>0</v>
      </c>
      <c r="F44" s="120">
        <f t="shared" si="1"/>
        <v>0</v>
      </c>
      <c r="G44" s="121">
        <f>+[10]OTCHET!G227+[10]OTCHET!G233+[10]OTCHET!G236+[10]OTCHET!G237+[10]OTCHET!G238+[10]OTCHET!G239+[10]OTCHET!G240</f>
        <v>0</v>
      </c>
      <c r="H44" s="122">
        <f>+[10]OTCHET!H227+[10]OTCHET!H233+[10]OTCHET!H236+[10]OTCHET!H237+[10]OTCHET!H238+[10]OTCHET!H239+[10]OTCHET!H240</f>
        <v>0</v>
      </c>
      <c r="I44" s="122">
        <f>+[10]OTCHET!I227+[10]OTCHET!I233+[10]OTCHET!I236+[10]OTCHET!I237+[10]OTCHET!I238+[10]OTCHET!I239+[10]OTCHET!I240</f>
        <v>0</v>
      </c>
      <c r="J44" s="123">
        <f>+[10]OTCHET!J227+[10]OTCHET!J233+[10]OTCHET!J236+[10]OTCHET!J237+[10]OTCHET!J238+[10]OTCHET!J239+[10]OTCHET!J240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+[10]OTCHET!E236+[10]OTCHET!E237+[10]OTCHET!E238+[10]OTCHET!E239+[10]OTCHET!E243+[10]OTCHET!E244+[10]OTCHET!E248</f>
        <v>0</v>
      </c>
      <c r="F45" s="256">
        <f t="shared" si="1"/>
        <v>0</v>
      </c>
      <c r="G45" s="257">
        <f>+[10]OTCHET!G236+[10]OTCHET!G237+[10]OTCHET!G238+[10]OTCHET!G239+[10]OTCHET!G243+[10]OTCHET!G244+[10]OTCHET!G248</f>
        <v>0</v>
      </c>
      <c r="H45" s="258">
        <f>+[10]OTCHET!H236+[10]OTCHET!H237+[10]OTCHET!H238+[10]OTCHET!H239+[10]OTCHET!H243+[10]OTCHET!H244+[10]OTCHET!H248</f>
        <v>0</v>
      </c>
      <c r="I45" s="259">
        <f>+[10]OTCHET!I236+[10]OTCHET!I237+[10]OTCHET!I238+[10]OTCHET!I239+[10]OTCHET!I243+[10]OTCHET!I244+[10]OTCHET!I248</f>
        <v>0</v>
      </c>
      <c r="J45" s="260">
        <f>+[10]OTCHET!J236+[10]OTCHET!J237+[10]OTCHET!J238+[10]OTCHET!J239+[10]OTCHET!J243+[10]OTCHET!J244+[10]OTCHET!J248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+[10]OTCHET!E255+[10]OTCHET!E256+[10]OTCHET!E257+[10]OTCHET!E258</f>
        <v>0</v>
      </c>
      <c r="F46" s="250">
        <f t="shared" si="1"/>
        <v>0</v>
      </c>
      <c r="G46" s="251">
        <f>+[10]OTCHET!G255+[10]OTCHET!G256+[10]OTCHET!G257+[10]OTCHET!G258</f>
        <v>0</v>
      </c>
      <c r="H46" s="252">
        <f>+[10]OTCHET!H255+[10]OTCHET!H256+[10]OTCHET!H257+[10]OTCHET!H258</f>
        <v>0</v>
      </c>
      <c r="I46" s="252">
        <f>+[10]OTCHET!I255+[10]OTCHET!I256+[10]OTCHET!I257+[10]OTCHET!I258</f>
        <v>0</v>
      </c>
      <c r="J46" s="253">
        <f>+[10]OTCHET!J255+[10]OTCHET!J256+[10]OTCHET!J257+[10]OTCHET!J258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+[10]OTCHET!E256</f>
        <v>0</v>
      </c>
      <c r="F47" s="256">
        <f t="shared" si="1"/>
        <v>0</v>
      </c>
      <c r="G47" s="257">
        <f>+[10]OTCHET!G256</f>
        <v>0</v>
      </c>
      <c r="H47" s="258">
        <f>+[10]OTCHET!H256</f>
        <v>0</v>
      </c>
      <c r="I47" s="259">
        <f>+[10]OTCHET!I256</f>
        <v>0</v>
      </c>
      <c r="J47" s="260">
        <f>+[10]OTCHET!J256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+[10]OTCHET!E265+[10]OTCHET!E269+[10]OTCHET!E270</f>
        <v>0</v>
      </c>
      <c r="F48" s="168">
        <f t="shared" si="1"/>
        <v>0</v>
      </c>
      <c r="G48" s="163">
        <f>+[10]OTCHET!G265+[10]OTCHET!G269+[10]OTCHET!G270</f>
        <v>0</v>
      </c>
      <c r="H48" s="164">
        <f>+[10]OTCHET!H265+[10]OTCHET!H269+[10]OTCHET!H270</f>
        <v>0</v>
      </c>
      <c r="I48" s="164">
        <f>+[10]OTCHET!I265+[10]OTCHET!I269+[10]OTCHET!I270</f>
        <v>0</v>
      </c>
      <c r="J48" s="165">
        <f>+[10]OTCHET!J265+[10]OTCHET!J269+[10]OTCHET!J270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[10]OTCHET!E275+[10]OTCHET!E276+[10]OTCHET!E284+[10]OTCHET!E287</f>
        <v>4600</v>
      </c>
      <c r="F49" s="168">
        <f t="shared" si="1"/>
        <v>4268</v>
      </c>
      <c r="G49" s="169">
        <f>[10]OTCHET!G275+[10]OTCHET!G276+[10]OTCHET!G284+[10]OTCHET!G287</f>
        <v>4268</v>
      </c>
      <c r="H49" s="170">
        <f>[10]OTCHET!H275+[10]OTCHET!H276+[10]OTCHET!H284+[10]OTCHET!H287</f>
        <v>0</v>
      </c>
      <c r="I49" s="170">
        <f>[10]OTCHET!I275+[10]OTCHET!I276+[10]OTCHET!I284+[10]OTCHET!I287</f>
        <v>0</v>
      </c>
      <c r="J49" s="171">
        <f>[10]OTCHET!J275+[10]OTCHET!J276+[10]OTCHET!J284+[10]OTCHET!J287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+[10]OTCHET!E288</f>
        <v>0</v>
      </c>
      <c r="F50" s="168">
        <f t="shared" si="1"/>
        <v>0</v>
      </c>
      <c r="G50" s="169">
        <f>+[10]OTCHET!G288</f>
        <v>0</v>
      </c>
      <c r="H50" s="170">
        <f>+[10]OTCHET!H288</f>
        <v>0</v>
      </c>
      <c r="I50" s="170">
        <f>+[10]OTCHET!I288</f>
        <v>0</v>
      </c>
      <c r="J50" s="171">
        <f>+[10]OTCHET!J288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+[10]OTCHET!E272</f>
        <v>0</v>
      </c>
      <c r="F51" s="120">
        <f>+G51+H51+I51+J51</f>
        <v>0</v>
      </c>
      <c r="G51" s="121">
        <f>+[10]OTCHET!G272</f>
        <v>0</v>
      </c>
      <c r="H51" s="122">
        <f>+[10]OTCHET!H272</f>
        <v>0</v>
      </c>
      <c r="I51" s="122">
        <f>+[10]OTCHET!I272</f>
        <v>0</v>
      </c>
      <c r="J51" s="123">
        <f>+[10]OTCHET!J272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+[10]OTCHET!E293</f>
        <v>0</v>
      </c>
      <c r="F52" s="120">
        <f t="shared" si="1"/>
        <v>0</v>
      </c>
      <c r="G52" s="121">
        <f>+[10]OTCHET!G293</f>
        <v>0</v>
      </c>
      <c r="H52" s="122">
        <f>+[10]OTCHET!H293</f>
        <v>0</v>
      </c>
      <c r="I52" s="122">
        <f>+[10]OTCHET!I293</f>
        <v>0</v>
      </c>
      <c r="J52" s="123">
        <f>+[10]OTCHET!J293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[10]OTCHET!E294</f>
        <v>0</v>
      </c>
      <c r="F53" s="267">
        <f t="shared" si="1"/>
        <v>0</v>
      </c>
      <c r="G53" s="268">
        <f>[10]OTCHET!G294</f>
        <v>0</v>
      </c>
      <c r="H53" s="269">
        <f>[10]OTCHET!H294</f>
        <v>0</v>
      </c>
      <c r="I53" s="269">
        <f>[10]OTCHET!I294</f>
        <v>0</v>
      </c>
      <c r="J53" s="270">
        <f>[10]OTCHET!J294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[10]OTCHET!E296</f>
        <v>0</v>
      </c>
      <c r="F54" s="275">
        <f t="shared" si="1"/>
        <v>0</v>
      </c>
      <c r="G54" s="276">
        <f>[10]OTCHET!G296</f>
        <v>0</v>
      </c>
      <c r="H54" s="277">
        <f>[10]OTCHET!H296</f>
        <v>0</v>
      </c>
      <c r="I54" s="277">
        <f>[10]OTCHET!I296</f>
        <v>0</v>
      </c>
      <c r="J54" s="278">
        <f>[10]OTCHET!J296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+[10]OTCHET!E297</f>
        <v>0</v>
      </c>
      <c r="F55" s="284">
        <f t="shared" si="1"/>
        <v>0</v>
      </c>
      <c r="G55" s="285">
        <f>+[10]OTCHET!G297</f>
        <v>0</v>
      </c>
      <c r="H55" s="286">
        <f>+[10]OTCHET!H297</f>
        <v>0</v>
      </c>
      <c r="I55" s="286">
        <f>+[10]OTCHET!I297</f>
        <v>0</v>
      </c>
      <c r="J55" s="287">
        <f>+[10]OTCHET!J297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1059929</v>
      </c>
      <c r="F56" s="293">
        <f t="shared" si="5"/>
        <v>943109</v>
      </c>
      <c r="G56" s="294">
        <f t="shared" si="5"/>
        <v>652247</v>
      </c>
      <c r="H56" s="295">
        <f t="shared" si="5"/>
        <v>0</v>
      </c>
      <c r="I56" s="296">
        <f t="shared" si="5"/>
        <v>0</v>
      </c>
      <c r="J56" s="297">
        <f t="shared" si="5"/>
        <v>290862</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+[10]OTCHET!E361+[10]OTCHET!E375+[10]OTCHET!E388</f>
        <v>0</v>
      </c>
      <c r="F57" s="299">
        <f t="shared" si="1"/>
        <v>0</v>
      </c>
      <c r="G57" s="300">
        <f>+[10]OTCHET!G361+[10]OTCHET!G375+[10]OTCHET!G388</f>
        <v>0</v>
      </c>
      <c r="H57" s="301">
        <f>+[10]OTCHET!H361+[10]OTCHET!H375+[10]OTCHET!H388</f>
        <v>0</v>
      </c>
      <c r="I57" s="301">
        <f>+[10]OTCHET!I361+[10]OTCHET!I375+[10]OTCHET!I388</f>
        <v>0</v>
      </c>
      <c r="J57" s="302">
        <f>+[10]OTCHET!J361+[10]OTCHET!J375+[10]OTCHET!J388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+[10]OTCHET!E383+[10]OTCHET!E391+[10]OTCHET!E396+[10]OTCHET!E399+[10]OTCHET!E402+[10]OTCHET!E405+[10]OTCHET!E406+[10]OTCHET!E409+[10]OTCHET!E422+[10]OTCHET!E423+[10]OTCHET!E424+[10]OTCHET!E425+[10]OTCHET!E426</f>
        <v>1059929</v>
      </c>
      <c r="F58" s="304">
        <f t="shared" si="1"/>
        <v>652247</v>
      </c>
      <c r="G58" s="305">
        <f>+[10]OTCHET!G383+[10]OTCHET!G391+[10]OTCHET!G396+[10]OTCHET!G399+[10]OTCHET!G402+[10]OTCHET!G405+[10]OTCHET!G406+[10]OTCHET!G409+[10]OTCHET!G422+[10]OTCHET!G423+[10]OTCHET!G424+[10]OTCHET!G425+[10]OTCHET!G426</f>
        <v>652247</v>
      </c>
      <c r="H58" s="306">
        <f>+[10]OTCHET!H383+[10]OTCHET!H391+[10]OTCHET!H396+[10]OTCHET!H399+[10]OTCHET!H402+[10]OTCHET!H405+[10]OTCHET!H406+[10]OTCHET!H409+[10]OTCHET!H422+[10]OTCHET!H423+[10]OTCHET!H424+[10]OTCHET!H425+[10]OTCHET!H426</f>
        <v>0</v>
      </c>
      <c r="I58" s="306">
        <f>+[10]OTCHET!I383+[10]OTCHET!I391+[10]OTCHET!I396+[10]OTCHET!I399+[10]OTCHET!I402+[10]OTCHET!I405+[10]OTCHET!I406+[10]OTCHET!I409+[10]OTCHET!I422+[10]OTCHET!I423+[10]OTCHET!I424+[10]OTCHET!I425+[10]OTCHET!I426</f>
        <v>0</v>
      </c>
      <c r="J58" s="307">
        <f>+[10]OTCHET!J383+[10]OTCHET!J391+[10]OTCHET!J396+[10]OTCHET!J399+[10]OTCHET!J402+[10]OTCHET!J405+[10]OTCHET!J406+[10]OTCHET!J409+[10]OTCHET!J422+[10]OTCHET!J423+[10]OTCHET!J424+[10]OTCHET!J425+[10]OTCHET!J426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+[10]OTCHET!E422+[10]OTCHET!E423+[10]OTCHET!E424+[10]OTCHET!E425+[10]OTCHET!E426</f>
        <v>0</v>
      </c>
      <c r="F59" s="309">
        <f t="shared" si="1"/>
        <v>0</v>
      </c>
      <c r="G59" s="310">
        <f>+[10]OTCHET!G422+[10]OTCHET!G423+[10]OTCHET!G424+[10]OTCHET!G425+[10]OTCHET!G426</f>
        <v>0</v>
      </c>
      <c r="H59" s="311">
        <f>+[10]OTCHET!H422+[10]OTCHET!H423+[10]OTCHET!H424+[10]OTCHET!H425+[10]OTCHET!H426</f>
        <v>0</v>
      </c>
      <c r="I59" s="311">
        <f>+[10]OTCHET!I422+[10]OTCHET!I423+[10]OTCHET!I424+[10]OTCHET!I425+[10]OTCHET!I426</f>
        <v>0</v>
      </c>
      <c r="J59" s="312">
        <f>+[10]OTCHET!J422+[10]OTCHET!J423+[10]OTCHET!J424+[10]OTCHET!J425+[10]OTCHET!J426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[10]OTCHET!E405</f>
        <v>0</v>
      </c>
      <c r="F60" s="316">
        <f t="shared" si="1"/>
        <v>0</v>
      </c>
      <c r="G60" s="317">
        <f>[10]OTCHET!G405</f>
        <v>0</v>
      </c>
      <c r="H60" s="318">
        <f>[10]OTCHET!H405</f>
        <v>0</v>
      </c>
      <c r="I60" s="318">
        <f>[10]OTCHET!I405</f>
        <v>0</v>
      </c>
      <c r="J60" s="319">
        <f>[10]OTCHET!J405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[10]OTCHET!E412</f>
        <v>0</v>
      </c>
      <c r="F62" s="199">
        <f t="shared" si="1"/>
        <v>290862</v>
      </c>
      <c r="G62" s="200">
        <f>[10]OTCHET!G412</f>
        <v>0</v>
      </c>
      <c r="H62" s="201">
        <f>[10]OTCHET!H412</f>
        <v>0</v>
      </c>
      <c r="I62" s="201">
        <f>[10]OTCHET!I412</f>
        <v>0</v>
      </c>
      <c r="J62" s="202">
        <f>[10]OTCHET!J412</f>
        <v>290862</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+[10]OTCHET!E249</f>
        <v>0</v>
      </c>
      <c r="F63" s="328">
        <f t="shared" si="1"/>
        <v>0</v>
      </c>
      <c r="G63" s="329">
        <f>+[10]OTCHET!G249</f>
        <v>0</v>
      </c>
      <c r="H63" s="330">
        <f>+[10]OTCHET!H249</f>
        <v>0</v>
      </c>
      <c r="I63" s="330">
        <f>+[10]OTCHET!I249</f>
        <v>0</v>
      </c>
      <c r="J63" s="331">
        <f>+[10]OTCHET!J249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-6348</v>
      </c>
      <c r="G64" s="337">
        <f t="shared" si="6"/>
        <v>17833</v>
      </c>
      <c r="H64" s="338">
        <f t="shared" si="6"/>
        <v>0</v>
      </c>
      <c r="I64" s="338">
        <f t="shared" si="6"/>
        <v>-3781</v>
      </c>
      <c r="J64" s="339">
        <f t="shared" si="6"/>
        <v>-20400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6348</v>
      </c>
      <c r="G66" s="349">
        <f t="shared" ref="G66:L66" si="8">SUM(+G68+G76+G77+G84+G85+G86+G89+G90+G91+G92+G93+G94+G95)</f>
        <v>-17833</v>
      </c>
      <c r="H66" s="350">
        <f>SUM(+H68+H76+H77+H84+H85+H86+H89+H90+H91+H92+H93+H94+H95)</f>
        <v>0</v>
      </c>
      <c r="I66" s="350">
        <f>SUM(+I68+I76+I77+I84+I85+I86+I89+I90+I91+I92+I93+I94+I95)</f>
        <v>3781</v>
      </c>
      <c r="J66" s="351">
        <f>SUM(+J68+J76+J77+J84+J85+J86+J89+J90+J91+J92+J93+J94+J95)</f>
        <v>20400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+[10]OTCHET!E482+[10]OTCHET!E483+[10]OTCHET!E486+[10]OTCHET!E487+[10]OTCHET!E490+[10]OTCHET!E491+[10]OTCHET!E495</f>
        <v>0</v>
      </c>
      <c r="F69" s="367">
        <f t="shared" si="1"/>
        <v>0</v>
      </c>
      <c r="G69" s="368">
        <f>+[10]OTCHET!G482+[10]OTCHET!G483+[10]OTCHET!G486+[10]OTCHET!G487+[10]OTCHET!G490+[10]OTCHET!G491+[10]OTCHET!G495</f>
        <v>0</v>
      </c>
      <c r="H69" s="369">
        <f>+[10]OTCHET!H482+[10]OTCHET!H483+[10]OTCHET!H486+[10]OTCHET!H487+[10]OTCHET!H490+[10]OTCHET!H491+[10]OTCHET!H495</f>
        <v>0</v>
      </c>
      <c r="I69" s="369">
        <f>+[10]OTCHET!I482+[10]OTCHET!I483+[10]OTCHET!I486+[10]OTCHET!I487+[10]OTCHET!I490+[10]OTCHET!I491+[10]OTCHET!I495</f>
        <v>0</v>
      </c>
      <c r="J69" s="370">
        <f>+[10]OTCHET!J482+[10]OTCHET!J483+[10]OTCHET!J486+[10]OTCHET!J487+[10]OTCHET!J490+[10]OTCHET!J491+[10]OTCHET!J495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+[10]OTCHET!E484+[10]OTCHET!E485+[10]OTCHET!E488+[10]OTCHET!E489+[10]OTCHET!E492+[10]OTCHET!E493+[10]OTCHET!E494+[10]OTCHET!E496</f>
        <v>0</v>
      </c>
      <c r="F70" s="375">
        <f t="shared" si="1"/>
        <v>0</v>
      </c>
      <c r="G70" s="376">
        <f>+[10]OTCHET!G484+[10]OTCHET!G485+[10]OTCHET!G488+[10]OTCHET!G489+[10]OTCHET!G492+[10]OTCHET!G493+[10]OTCHET!G494+[10]OTCHET!G496</f>
        <v>0</v>
      </c>
      <c r="H70" s="377">
        <f>+[10]OTCHET!H484+[10]OTCHET!H485+[10]OTCHET!H488+[10]OTCHET!H489+[10]OTCHET!H492+[10]OTCHET!H493+[10]OTCHET!H494+[10]OTCHET!H496</f>
        <v>0</v>
      </c>
      <c r="I70" s="377">
        <f>+[10]OTCHET!I484+[10]OTCHET!I485+[10]OTCHET!I488+[10]OTCHET!I489+[10]OTCHET!I492+[10]OTCHET!I493+[10]OTCHET!I494+[10]OTCHET!I496</f>
        <v>0</v>
      </c>
      <c r="J70" s="378">
        <f>+[10]OTCHET!J484+[10]OTCHET!J485+[10]OTCHET!J488+[10]OTCHET!J489+[10]OTCHET!J492+[10]OTCHET!J493+[10]OTCHET!J494+[10]OTCHET!J496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+[10]OTCHET!E497</f>
        <v>0</v>
      </c>
      <c r="F71" s="375">
        <f t="shared" si="1"/>
        <v>0</v>
      </c>
      <c r="G71" s="376">
        <f>+[10]OTCHET!G497</f>
        <v>0</v>
      </c>
      <c r="H71" s="377">
        <f>+[10]OTCHET!H497</f>
        <v>0</v>
      </c>
      <c r="I71" s="377">
        <f>+[10]OTCHET!I497</f>
        <v>0</v>
      </c>
      <c r="J71" s="378">
        <f>+[10]OTCHET!J497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+[10]OTCHET!E502</f>
        <v>0</v>
      </c>
      <c r="F72" s="375">
        <f t="shared" si="1"/>
        <v>0</v>
      </c>
      <c r="G72" s="376">
        <f>+[10]OTCHET!G502</f>
        <v>0</v>
      </c>
      <c r="H72" s="377">
        <f>+[10]OTCHET!H502</f>
        <v>0</v>
      </c>
      <c r="I72" s="377">
        <f>+[10]OTCHET!I502</f>
        <v>0</v>
      </c>
      <c r="J72" s="378">
        <f>+[10]OTCHET!J502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+[10]OTCHET!E542</f>
        <v>0</v>
      </c>
      <c r="F73" s="375">
        <f t="shared" si="1"/>
        <v>0</v>
      </c>
      <c r="G73" s="376">
        <f>+[10]OTCHET!G542</f>
        <v>0</v>
      </c>
      <c r="H73" s="377">
        <f>+[10]OTCHET!H542</f>
        <v>0</v>
      </c>
      <c r="I73" s="377">
        <f>+[10]OTCHET!I542</f>
        <v>0</v>
      </c>
      <c r="J73" s="378">
        <f>+[10]OTCHET!J542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+[10]OTCHET!E581+[10]OTCHET!E582</f>
        <v>0</v>
      </c>
      <c r="F74" s="375">
        <f t="shared" si="1"/>
        <v>0</v>
      </c>
      <c r="G74" s="376">
        <f>+[10]OTCHET!G581+[10]OTCHET!G582</f>
        <v>0</v>
      </c>
      <c r="H74" s="377">
        <f>+[10]OTCHET!H581+[10]OTCHET!H582</f>
        <v>0</v>
      </c>
      <c r="I74" s="377">
        <f>+[10]OTCHET!I581+[10]OTCHET!I582</f>
        <v>0</v>
      </c>
      <c r="J74" s="378">
        <f>+[10]OTCHET!J581+[10]OTCHET!J582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+[10]OTCHET!E583+[10]OTCHET!E584+[10]OTCHET!E585</f>
        <v>0</v>
      </c>
      <c r="F75" s="382">
        <f t="shared" si="1"/>
        <v>0</v>
      </c>
      <c r="G75" s="383">
        <f>+[10]OTCHET!G583+[10]OTCHET!G584+[10]OTCHET!G585</f>
        <v>0</v>
      </c>
      <c r="H75" s="384">
        <f>+[10]OTCHET!H583+[10]OTCHET!H584+[10]OTCHET!H585</f>
        <v>0</v>
      </c>
      <c r="I75" s="384">
        <f>+[10]OTCHET!I583+[10]OTCHET!I584+[10]OTCHET!I585</f>
        <v>0</v>
      </c>
      <c r="J75" s="385">
        <f>+[10]OTCHET!J583+[10]OTCHET!J584+[10]OTCHET!J585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[10]OTCHET!E461</f>
        <v>0</v>
      </c>
      <c r="F76" s="299">
        <f t="shared" si="1"/>
        <v>0</v>
      </c>
      <c r="G76" s="300">
        <f>[10]OTCHET!G461</f>
        <v>0</v>
      </c>
      <c r="H76" s="301">
        <f>[10]OTCHET!H461</f>
        <v>0</v>
      </c>
      <c r="I76" s="301">
        <f>[10]OTCHET!I461</f>
        <v>0</v>
      </c>
      <c r="J76" s="302">
        <f>[10]OTCHET!J461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+[10]OTCHET!E466+[10]OTCHET!E469</f>
        <v>0</v>
      </c>
      <c r="F78" s="367">
        <f t="shared" si="1"/>
        <v>0</v>
      </c>
      <c r="G78" s="368">
        <f>+[10]OTCHET!G466+[10]OTCHET!G469</f>
        <v>0</v>
      </c>
      <c r="H78" s="369">
        <f>+[10]OTCHET!H466+[10]OTCHET!H469</f>
        <v>0</v>
      </c>
      <c r="I78" s="369">
        <f>+[10]OTCHET!I466+[10]OTCHET!I469</f>
        <v>0</v>
      </c>
      <c r="J78" s="370">
        <f>+[10]OTCHET!J466+[10]OTCHET!J469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+[10]OTCHET!E467+[10]OTCHET!E470</f>
        <v>0</v>
      </c>
      <c r="F79" s="375">
        <f t="shared" si="1"/>
        <v>0</v>
      </c>
      <c r="G79" s="376">
        <f>+[10]OTCHET!G467+[10]OTCHET!G470</f>
        <v>0</v>
      </c>
      <c r="H79" s="377">
        <f>+[10]OTCHET!H467+[10]OTCHET!H470</f>
        <v>0</v>
      </c>
      <c r="I79" s="377">
        <f>+[10]OTCHET!I467+[10]OTCHET!I470</f>
        <v>0</v>
      </c>
      <c r="J79" s="378">
        <f>+[10]OTCHET!J467+[10]OTCHET!J470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[10]OTCHET!E471</f>
        <v>0</v>
      </c>
      <c r="F80" s="375">
        <f t="shared" si="1"/>
        <v>0</v>
      </c>
      <c r="G80" s="376">
        <f>[10]OTCHET!G471</f>
        <v>0</v>
      </c>
      <c r="H80" s="377">
        <f>[10]OTCHET!H471</f>
        <v>0</v>
      </c>
      <c r="I80" s="377">
        <f>[10]OTCHET!I471</f>
        <v>0</v>
      </c>
      <c r="J80" s="378">
        <f>[10]OTCHET!J471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+[10]OTCHET!E479</f>
        <v>0</v>
      </c>
      <c r="F82" s="375">
        <f t="shared" si="1"/>
        <v>0</v>
      </c>
      <c r="G82" s="376">
        <f>+[10]OTCHET!G479</f>
        <v>0</v>
      </c>
      <c r="H82" s="377">
        <f>+[10]OTCHET!H479</f>
        <v>0</v>
      </c>
      <c r="I82" s="377">
        <f>+[10]OTCHET!I479</f>
        <v>0</v>
      </c>
      <c r="J82" s="378">
        <f>+[10]OTCHET!J479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+[10]OTCHET!E480</f>
        <v>0</v>
      </c>
      <c r="F83" s="382">
        <f t="shared" si="1"/>
        <v>0</v>
      </c>
      <c r="G83" s="383">
        <f>+[10]OTCHET!G480</f>
        <v>0</v>
      </c>
      <c r="H83" s="384">
        <f>+[10]OTCHET!H480</f>
        <v>0</v>
      </c>
      <c r="I83" s="384">
        <f>+[10]OTCHET!I480</f>
        <v>0</v>
      </c>
      <c r="J83" s="385">
        <f>+[10]OTCHET!J480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[10]OTCHET!E535</f>
        <v>0</v>
      </c>
      <c r="F84" s="299">
        <f t="shared" si="1"/>
        <v>0</v>
      </c>
      <c r="G84" s="300">
        <f>[10]OTCHET!G535</f>
        <v>0</v>
      </c>
      <c r="H84" s="301">
        <f>[10]OTCHET!H535</f>
        <v>0</v>
      </c>
      <c r="I84" s="301">
        <f>[10]OTCHET!I535</f>
        <v>0</v>
      </c>
      <c r="J84" s="302">
        <f>[10]OTCHET!J535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[10]OTCHET!E536</f>
        <v>0</v>
      </c>
      <c r="F85" s="304">
        <f t="shared" si="1"/>
        <v>0</v>
      </c>
      <c r="G85" s="305">
        <f>[10]OTCHET!G536</f>
        <v>0</v>
      </c>
      <c r="H85" s="306">
        <f>[10]OTCHET!H536</f>
        <v>0</v>
      </c>
      <c r="I85" s="306">
        <f>[10]OTCHET!I536</f>
        <v>0</v>
      </c>
      <c r="J85" s="307">
        <f>[10]OTCHET!J536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6767</v>
      </c>
      <c r="G86" s="310">
        <f t="shared" ref="G86:M86" si="11">+G87+G88</f>
        <v>-13633</v>
      </c>
      <c r="H86" s="311">
        <f>+H87+H88</f>
        <v>0</v>
      </c>
      <c r="I86" s="311">
        <f>+I87+I88</f>
        <v>0</v>
      </c>
      <c r="J86" s="312">
        <f>+J87+J88</f>
        <v>20400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+[10]OTCHET!E503+[10]OTCHET!E512+[10]OTCHET!E516+[10]OTCHET!E543</f>
        <v>0</v>
      </c>
      <c r="F87" s="367">
        <f t="shared" si="1"/>
        <v>0</v>
      </c>
      <c r="G87" s="368">
        <f>+[10]OTCHET!G503+[10]OTCHET!G512+[10]OTCHET!G516+[10]OTCHET!G543</f>
        <v>0</v>
      </c>
      <c r="H87" s="369">
        <f>+[10]OTCHET!H503+[10]OTCHET!H512+[10]OTCHET!H516+[10]OTCHET!H543</f>
        <v>0</v>
      </c>
      <c r="I87" s="369">
        <f>+[10]OTCHET!I503+[10]OTCHET!I512+[10]OTCHET!I516+[10]OTCHET!I543</f>
        <v>0</v>
      </c>
      <c r="J87" s="370">
        <f>+[10]OTCHET!J503+[10]OTCHET!J512+[10]OTCHET!J516+[10]OTCHET!J543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+[10]OTCHET!E521+[10]OTCHET!E524+[10]OTCHET!E544</f>
        <v>0</v>
      </c>
      <c r="F88" s="382">
        <f t="shared" si="1"/>
        <v>6767</v>
      </c>
      <c r="G88" s="383">
        <f>+[10]OTCHET!G521+[10]OTCHET!G524+[10]OTCHET!G544</f>
        <v>-13633</v>
      </c>
      <c r="H88" s="384">
        <f>+[10]OTCHET!H521+[10]OTCHET!H524+[10]OTCHET!H544</f>
        <v>0</v>
      </c>
      <c r="I88" s="384">
        <f>+[10]OTCHET!I521+[10]OTCHET!I524+[10]OTCHET!I544</f>
        <v>0</v>
      </c>
      <c r="J88" s="385">
        <f>+[10]OTCHET!J521+[10]OTCHET!J524+[10]OTCHET!J544</f>
        <v>20400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[10]OTCHET!E531</f>
        <v>0</v>
      </c>
      <c r="F89" s="299">
        <f t="shared" ref="F89:F96" si="12">+G89+H89+I89+J89</f>
        <v>0</v>
      </c>
      <c r="G89" s="300">
        <f>[10]OTCHET!G531</f>
        <v>0</v>
      </c>
      <c r="H89" s="301">
        <f>[10]OTCHET!H531</f>
        <v>0</v>
      </c>
      <c r="I89" s="301">
        <f>[10]OTCHET!I531</f>
        <v>0</v>
      </c>
      <c r="J89" s="302">
        <f>[10]OTCHET!J531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+[10]OTCHET!E567+[10]OTCHET!E568+[10]OTCHET!E569+[10]OTCHET!E570+[10]OTCHET!E571+[10]OTCHET!E572</f>
        <v>0</v>
      </c>
      <c r="F90" s="304">
        <f t="shared" si="12"/>
        <v>0</v>
      </c>
      <c r="G90" s="305">
        <f>+[10]OTCHET!G567+[10]OTCHET!G568+[10]OTCHET!G569+[10]OTCHET!G570+[10]OTCHET!G571+[10]OTCHET!G572</f>
        <v>0</v>
      </c>
      <c r="H90" s="306">
        <f>+[10]OTCHET!H567+[10]OTCHET!H568+[10]OTCHET!H569+[10]OTCHET!H570+[10]OTCHET!H571+[10]OTCHET!H572</f>
        <v>0</v>
      </c>
      <c r="I90" s="306">
        <f>+[10]OTCHET!I567+[10]OTCHET!I568+[10]OTCHET!I569+[10]OTCHET!I570+[10]OTCHET!I571+[10]OTCHET!I572</f>
        <v>0</v>
      </c>
      <c r="J90" s="307">
        <f>+[10]OTCHET!J567+[10]OTCHET!J568+[10]OTCHET!J569+[10]OTCHET!J570+[10]OTCHET!J571+[10]OTCHET!J572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+[10]OTCHET!E573+[10]OTCHET!E574+[10]OTCHET!E575+[10]OTCHET!E576+[10]OTCHET!E577+[10]OTCHET!E578+[10]OTCHET!E579</f>
        <v>0</v>
      </c>
      <c r="F91" s="168">
        <f t="shared" si="12"/>
        <v>-419</v>
      </c>
      <c r="G91" s="169">
        <f>+[10]OTCHET!G573+[10]OTCHET!G574+[10]OTCHET!G575+[10]OTCHET!G576+[10]OTCHET!G577+[10]OTCHET!G578+[10]OTCHET!G579</f>
        <v>0</v>
      </c>
      <c r="H91" s="170">
        <f>+[10]OTCHET!H573+[10]OTCHET!H574+[10]OTCHET!H575+[10]OTCHET!H576+[10]OTCHET!H577+[10]OTCHET!H578+[10]OTCHET!H579</f>
        <v>0</v>
      </c>
      <c r="I91" s="170">
        <f>+[10]OTCHET!I573+[10]OTCHET!I574+[10]OTCHET!I575+[10]OTCHET!I576+[10]OTCHET!I577+[10]OTCHET!I578+[10]OTCHET!I579</f>
        <v>-419</v>
      </c>
      <c r="J91" s="171">
        <f>+[10]OTCHET!J573+[10]OTCHET!J574+[10]OTCHET!J575+[10]OTCHET!J576+[10]OTCHET!J577+[10]OTCHET!J578+[10]OTCHET!J579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+[10]OTCHET!E580</f>
        <v>0</v>
      </c>
      <c r="F92" s="168">
        <f t="shared" si="12"/>
        <v>0</v>
      </c>
      <c r="G92" s="169">
        <f>+[10]OTCHET!G580</f>
        <v>0</v>
      </c>
      <c r="H92" s="170">
        <f>+[10]OTCHET!H580</f>
        <v>0</v>
      </c>
      <c r="I92" s="170">
        <f>+[10]OTCHET!I580</f>
        <v>0</v>
      </c>
      <c r="J92" s="171">
        <f>+[10]OTCHET!J580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+[10]OTCHET!E587+[10]OTCHET!E588</f>
        <v>0</v>
      </c>
      <c r="F93" s="168">
        <f t="shared" si="12"/>
        <v>0</v>
      </c>
      <c r="G93" s="169">
        <f>+[10]OTCHET!G587+[10]OTCHET!G588</f>
        <v>0</v>
      </c>
      <c r="H93" s="170">
        <f>+[10]OTCHET!H587+[10]OTCHET!H588</f>
        <v>0</v>
      </c>
      <c r="I93" s="170">
        <f>+[10]OTCHET!I587+[10]OTCHET!I588</f>
        <v>0</v>
      </c>
      <c r="J93" s="171">
        <f>+[10]OTCHET!J587+[10]OTCHET!J588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+[10]OTCHET!E589+[10]OTCHET!E590</f>
        <v>0</v>
      </c>
      <c r="F94" s="168">
        <f t="shared" si="12"/>
        <v>0</v>
      </c>
      <c r="G94" s="169">
        <f>+[10]OTCHET!G589+[10]OTCHET!G590</f>
        <v>0</v>
      </c>
      <c r="H94" s="170">
        <f>+[10]OTCHET!H589+[10]OTCHET!H590</f>
        <v>0</v>
      </c>
      <c r="I94" s="170">
        <f>+[10]OTCHET!I589+[10]OTCHET!I590</f>
        <v>0</v>
      </c>
      <c r="J94" s="171">
        <f>+[10]OTCHET!J589+[10]OTCHET!J590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[10]OTCHET!E591</f>
        <v>0</v>
      </c>
      <c r="F95" s="120">
        <f t="shared" si="12"/>
        <v>0</v>
      </c>
      <c r="G95" s="121">
        <f>[10]OTCHET!G591</f>
        <v>-4200</v>
      </c>
      <c r="H95" s="122">
        <f>[10]OTCHET!H591</f>
        <v>0</v>
      </c>
      <c r="I95" s="122">
        <f>[10]OTCHET!I591</f>
        <v>4200</v>
      </c>
      <c r="J95" s="123">
        <f>[10]OTCHET!J591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+[10]OTCHET!E594</f>
        <v>0</v>
      </c>
      <c r="F96" s="396">
        <f t="shared" si="12"/>
        <v>0</v>
      </c>
      <c r="G96" s="397">
        <f>+[10]OTCHET!G594</f>
        <v>0</v>
      </c>
      <c r="H96" s="398">
        <f>+[10]OTCHET!H594</f>
        <v>0</v>
      </c>
      <c r="I96" s="398">
        <f>+[10]OTCHET!I594</f>
        <v>0</v>
      </c>
      <c r="J96" s="399">
        <f>+[10]OTCHET!J594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+[10]OTCHET!H605</f>
        <v>0</v>
      </c>
      <c r="C107" s="421"/>
      <c r="D107" s="421"/>
      <c r="E107" s="426"/>
      <c r="F107" s="19"/>
      <c r="G107" s="427">
        <f>+[10]OTCHET!E605</f>
        <v>0</v>
      </c>
      <c r="H107" s="427">
        <f>+[10]OTCHET!F605</f>
        <v>0</v>
      </c>
      <c r="I107" s="428"/>
      <c r="J107" s="429" t="str">
        <f>+[10]OTCHET!B605</f>
        <v>31.10.2023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62" priority="21" stopIfTrue="1" operator="notEqual">
      <formula>0</formula>
    </cfRule>
  </conditionalFormatting>
  <conditionalFormatting sqref="E105:J105">
    <cfRule type="cellIs" dxfId="61" priority="20" stopIfTrue="1" operator="notEqual">
      <formula>0</formula>
    </cfRule>
  </conditionalFormatting>
  <conditionalFormatting sqref="G107:H107 B107">
    <cfRule type="cellIs" dxfId="60" priority="19" stopIfTrue="1" operator="equal">
      <formula>0</formula>
    </cfRule>
  </conditionalFormatting>
  <conditionalFormatting sqref="I114 E110">
    <cfRule type="cellIs" dxfId="59" priority="18" stopIfTrue="1" operator="equal">
      <formula>0</formula>
    </cfRule>
  </conditionalFormatting>
  <conditionalFormatting sqref="J107">
    <cfRule type="cellIs" dxfId="58" priority="17" stopIfTrue="1" operator="equal">
      <formula>0</formula>
    </cfRule>
  </conditionalFormatting>
  <conditionalFormatting sqref="E114:F114">
    <cfRule type="cellIs" dxfId="57" priority="16" stopIfTrue="1" operator="equal">
      <formula>0</formula>
    </cfRule>
  </conditionalFormatting>
  <conditionalFormatting sqref="F15">
    <cfRule type="cellIs" dxfId="56" priority="11" stopIfTrue="1" operator="equal">
      <formula>"Чужди средства"</formula>
    </cfRule>
    <cfRule type="cellIs" dxfId="55" priority="12" stopIfTrue="1" operator="equal">
      <formula>"СЕС - ДМП"</formula>
    </cfRule>
    <cfRule type="cellIs" dxfId="54" priority="13" stopIfTrue="1" operator="equal">
      <formula>"СЕС - РА"</formula>
    </cfRule>
    <cfRule type="cellIs" dxfId="53" priority="14" stopIfTrue="1" operator="equal">
      <formula>"СЕС - ДЕС"</formula>
    </cfRule>
    <cfRule type="cellIs" dxfId="52" priority="15" stopIfTrue="1" operator="equal">
      <formula>"СЕС - КСФ"</formula>
    </cfRule>
  </conditionalFormatting>
  <conditionalFormatting sqref="B105">
    <cfRule type="cellIs" dxfId="51" priority="10" stopIfTrue="1" operator="notEqual">
      <formula>0</formula>
    </cfRule>
  </conditionalFormatting>
  <conditionalFormatting sqref="I11:J11">
    <cfRule type="cellIs" dxfId="50" priority="6" stopIfTrue="1" operator="between">
      <formula>1000000000000</formula>
      <formula>9999999999999990</formula>
    </cfRule>
    <cfRule type="cellIs" dxfId="49" priority="7" stopIfTrue="1" operator="between">
      <formula>10000000000</formula>
      <formula>999999999999</formula>
    </cfRule>
    <cfRule type="cellIs" dxfId="48" priority="8" stopIfTrue="1" operator="between">
      <formula>1000000</formula>
      <formula>99999999</formula>
    </cfRule>
    <cfRule type="cellIs" dxfId="47" priority="9" stopIfTrue="1" operator="between">
      <formula>100</formula>
      <formula>9999</formula>
    </cfRule>
  </conditionalFormatting>
  <conditionalFormatting sqref="E15">
    <cfRule type="cellIs" dxfId="46" priority="1" stopIfTrue="1" operator="equal">
      <formula>"Чужди средства"</formula>
    </cfRule>
    <cfRule type="cellIs" dxfId="45" priority="2" stopIfTrue="1" operator="equal">
      <formula>"СЕС - ДМП"</formula>
    </cfRule>
    <cfRule type="cellIs" dxfId="44" priority="3" stopIfTrue="1" operator="equal">
      <formula>"СЕС - РА"</formula>
    </cfRule>
    <cfRule type="cellIs" dxfId="43" priority="4" stopIfTrue="1" operator="equal">
      <formula>"СЕС - ДЕС"</formula>
    </cfRule>
    <cfRule type="cellIs" dxfId="42"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F120" sqref="F120"/>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+[11]OTCHET!B9</f>
        <v>РИОСВ - ПЛОВДИВ</v>
      </c>
      <c r="C11" s="22"/>
      <c r="D11" s="22"/>
      <c r="E11" s="23" t="s">
        <v>0</v>
      </c>
      <c r="F11" s="24">
        <f>[11]OTCHET!F9</f>
        <v>45260</v>
      </c>
      <c r="G11" s="25" t="s">
        <v>1</v>
      </c>
      <c r="H11" s="26">
        <f>+[11]OTCHET!H9</f>
        <v>471013</v>
      </c>
      <c r="I11" s="448">
        <f>+[11]OTCHET!I9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+[11]OTCHET!B12</f>
        <v>Министерство на околната среда и водите</v>
      </c>
      <c r="C13" s="31"/>
      <c r="D13" s="31"/>
      <c r="E13" s="35" t="str">
        <f>+[11]OTCHET!E12</f>
        <v>код по ЕБК:</v>
      </c>
      <c r="F13" s="36" t="str">
        <f>+[11]OTCHET!F12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+[11]OTCHET!E15</f>
        <v>0</v>
      </c>
      <c r="F15" s="41" t="str">
        <f>[11]OTCHET!F15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170000</v>
      </c>
      <c r="F22" s="102">
        <f t="shared" si="0"/>
        <v>130200</v>
      </c>
      <c r="G22" s="103">
        <f t="shared" si="0"/>
        <v>150600</v>
      </c>
      <c r="H22" s="104">
        <f t="shared" si="0"/>
        <v>0</v>
      </c>
      <c r="I22" s="104">
        <f t="shared" si="0"/>
        <v>0</v>
      </c>
      <c r="J22" s="105">
        <f t="shared" si="0"/>
        <v>-20400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[11]OTCHET!E22+[11]OTCHET!E28+[11]OTCHET!E33+[11]OTCHET!E39+[11]OTCHET!E47+[11]OTCHET!E52+[11]OTCHET!E58+[11]OTCHET!E61+[11]OTCHET!E64+[11]OTCHET!E65+[11]OTCHET!E72+[11]OTCHET!E73</f>
        <v>0</v>
      </c>
      <c r="F23" s="111">
        <f t="shared" ref="F23:F88" si="1">+G23+H23+I23+J23</f>
        <v>0</v>
      </c>
      <c r="G23" s="112">
        <f>[11]OTCHET!G22+[11]OTCHET!G28+[11]OTCHET!G33+[11]OTCHET!G39+[11]OTCHET!G47+[11]OTCHET!G52+[11]OTCHET!G58+[11]OTCHET!G61+[11]OTCHET!G64+[11]OTCHET!G65+[11]OTCHET!G72+[11]OTCHET!G73</f>
        <v>0</v>
      </c>
      <c r="H23" s="113">
        <f>[11]OTCHET!H22+[11]OTCHET!H28+[11]OTCHET!H33+[11]OTCHET!H39+[11]OTCHET!H47+[11]OTCHET!H52+[11]OTCHET!H58+[11]OTCHET!H61+[11]OTCHET!H64+[11]OTCHET!H65+[11]OTCHET!H72+[11]OTCHET!H73</f>
        <v>0</v>
      </c>
      <c r="I23" s="113">
        <f>[11]OTCHET!I22+[11]OTCHET!I28+[11]OTCHET!I33+[11]OTCHET!I39+[11]OTCHET!I47+[11]OTCHET!I52+[11]OTCHET!I58+[11]OTCHET!I61+[11]OTCHET!I64+[11]OTCHET!I65+[11]OTCHET!I72+[11]OTCHET!I73</f>
        <v>0</v>
      </c>
      <c r="J23" s="114">
        <f>[11]OTCHET!J22+[11]OTCHET!J28+[11]OTCHET!J33+[11]OTCHET!J39+[11]OTCHET!J47+[11]OTCHET!J52+[11]OTCHET!J58+[11]OTCHET!J61+[11]OTCHET!J64+[11]OTCHET!J65+[11]OTCHET!J72+[11]OTCHET!J73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170000</v>
      </c>
      <c r="F25" s="127">
        <f>+F26+F30+F31+F32+F33</f>
        <v>130200</v>
      </c>
      <c r="G25" s="128">
        <f t="shared" ref="G25:M25" si="2">+G26+G30+G31+G32+G33</f>
        <v>150600</v>
      </c>
      <c r="H25" s="129">
        <f>+H26+H30+H31+H32+H33</f>
        <v>0</v>
      </c>
      <c r="I25" s="129">
        <f>+I26+I30+I31+I32+I33</f>
        <v>0</v>
      </c>
      <c r="J25" s="130">
        <f>+J26+J30+J31+J32+J33</f>
        <v>-20400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[11]OTCHET!E74</f>
        <v>0</v>
      </c>
      <c r="F26" s="133">
        <f t="shared" si="1"/>
        <v>0</v>
      </c>
      <c r="G26" s="134">
        <f>[11]OTCHET!G74</f>
        <v>0</v>
      </c>
      <c r="H26" s="135">
        <f>[11]OTCHET!H74</f>
        <v>0</v>
      </c>
      <c r="I26" s="135">
        <f>[11]OTCHET!I74</f>
        <v>0</v>
      </c>
      <c r="J26" s="136">
        <f>[11]OTCHET!J74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[11]OTCHET!E75</f>
        <v>0</v>
      </c>
      <c r="F27" s="140">
        <f t="shared" si="1"/>
        <v>0</v>
      </c>
      <c r="G27" s="141">
        <f>[11]OTCHET!G75</f>
        <v>0</v>
      </c>
      <c r="H27" s="142">
        <f>[11]OTCHET!H75</f>
        <v>0</v>
      </c>
      <c r="I27" s="142">
        <f>[11]OTCHET!I75</f>
        <v>0</v>
      </c>
      <c r="J27" s="143">
        <f>[11]OTCHET!J75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[11]OTCHET!E77</f>
        <v>0</v>
      </c>
      <c r="F28" s="148">
        <f t="shared" si="1"/>
        <v>0</v>
      </c>
      <c r="G28" s="149">
        <f>[11]OTCHET!G77</f>
        <v>0</v>
      </c>
      <c r="H28" s="150">
        <f>[11]OTCHET!H77</f>
        <v>0</v>
      </c>
      <c r="I28" s="150">
        <f>[11]OTCHET!I77</f>
        <v>0</v>
      </c>
      <c r="J28" s="151">
        <f>[11]OTCHET!J77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+[11]OTCHET!E78+[11]OTCHET!E79</f>
        <v>0</v>
      </c>
      <c r="F29" s="156">
        <f t="shared" si="1"/>
        <v>0</v>
      </c>
      <c r="G29" s="157">
        <f>+[11]OTCHET!G78+[11]OTCHET!G79</f>
        <v>0</v>
      </c>
      <c r="H29" s="158">
        <f>+[11]OTCHET!H78+[11]OTCHET!H79</f>
        <v>0</v>
      </c>
      <c r="I29" s="158">
        <f>+[11]OTCHET!I78+[11]OTCHET!I79</f>
        <v>0</v>
      </c>
      <c r="J29" s="159">
        <f>+[11]OTCHET!J78+[11]OTCHET!J79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[11]OTCHET!E90+[11]OTCHET!E93+[11]OTCHET!E94</f>
        <v>140000</v>
      </c>
      <c r="F30" s="162">
        <f t="shared" si="1"/>
        <v>137946</v>
      </c>
      <c r="G30" s="163">
        <f>[11]OTCHET!G90+[11]OTCHET!G93+[11]OTCHET!G94</f>
        <v>137946</v>
      </c>
      <c r="H30" s="164">
        <f>[11]OTCHET!H90+[11]OTCHET!H93+[11]OTCHET!H94</f>
        <v>0</v>
      </c>
      <c r="I30" s="164">
        <f>[11]OTCHET!I90+[11]OTCHET!I93+[11]OTCHET!I94</f>
        <v>0</v>
      </c>
      <c r="J30" s="165">
        <f>[11]OTCHET!J90+[11]OTCHET!J93+[11]OTCHET!J94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[11]OTCHET!E106</f>
        <v>30000</v>
      </c>
      <c r="F31" s="168">
        <f t="shared" si="1"/>
        <v>12359</v>
      </c>
      <c r="G31" s="169">
        <f>[11]OTCHET!G106</f>
        <v>10512</v>
      </c>
      <c r="H31" s="170">
        <f>[11]OTCHET!H106</f>
        <v>0</v>
      </c>
      <c r="I31" s="170">
        <f>[11]OTCHET!I106</f>
        <v>0</v>
      </c>
      <c r="J31" s="171">
        <f>[11]OTCHET!J106</f>
        <v>1847</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[11]OTCHET!E110+[11]OTCHET!E119+[11]OTCHET!E135+[11]OTCHET!E136</f>
        <v>0</v>
      </c>
      <c r="F32" s="168">
        <f t="shared" si="1"/>
        <v>-20105</v>
      </c>
      <c r="G32" s="169">
        <f>[11]OTCHET!G110+[11]OTCHET!G119+[11]OTCHET!G135+[11]OTCHET!G136</f>
        <v>2142</v>
      </c>
      <c r="H32" s="170">
        <f>[11]OTCHET!H110+[11]OTCHET!H119+[11]OTCHET!H135+[11]OTCHET!H136</f>
        <v>0</v>
      </c>
      <c r="I32" s="170">
        <f>[11]OTCHET!I110+[11]OTCHET!I119+[11]OTCHET!I135+[11]OTCHET!I136</f>
        <v>0</v>
      </c>
      <c r="J32" s="171">
        <f>[11]OTCHET!J110+[11]OTCHET!J119+[11]OTCHET!J135+[11]OTCHET!J136</f>
        <v>-22247</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[11]OTCHET!E123</f>
        <v>0</v>
      </c>
      <c r="F33" s="120">
        <f t="shared" si="1"/>
        <v>0</v>
      </c>
      <c r="G33" s="121">
        <f>[11]OTCHET!G123</f>
        <v>0</v>
      </c>
      <c r="H33" s="122">
        <f>[11]OTCHET!H123</f>
        <v>0</v>
      </c>
      <c r="I33" s="122">
        <f>[11]OTCHET!I123</f>
        <v>0</v>
      </c>
      <c r="J33" s="123">
        <f>[11]OTCHET!J123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+[11]OTCHET!E137</f>
        <v>0</v>
      </c>
      <c r="F36" s="191">
        <f t="shared" si="1"/>
        <v>0</v>
      </c>
      <c r="G36" s="192">
        <f>+[11]OTCHET!G137</f>
        <v>0</v>
      </c>
      <c r="H36" s="193">
        <f>+[11]OTCHET!H137</f>
        <v>0</v>
      </c>
      <c r="I36" s="193">
        <f>+[11]OTCHET!I137</f>
        <v>0</v>
      </c>
      <c r="J36" s="194">
        <f>+[11]OTCHET!J137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[11]OTCHET!E140+[11]OTCHET!E149+[11]OTCHET!E158</f>
        <v>0</v>
      </c>
      <c r="F37" s="199">
        <f t="shared" si="1"/>
        <v>0</v>
      </c>
      <c r="G37" s="200">
        <f>[11]OTCHET!G140+[11]OTCHET!G149+[11]OTCHET!G158</f>
        <v>0</v>
      </c>
      <c r="H37" s="201">
        <f>[11]OTCHET!H140+[11]OTCHET!H149+[11]OTCHET!H158</f>
        <v>0</v>
      </c>
      <c r="I37" s="201">
        <f>[11]OTCHET!I140+[11]OTCHET!I149+[11]OTCHET!I158</f>
        <v>0</v>
      </c>
      <c r="J37" s="202">
        <f>[11]OTCHET!J140+[11]OTCHET!J149+[11]OTCHET!J158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1293868</v>
      </c>
      <c r="F38" s="209">
        <f t="shared" si="3"/>
        <v>1174640</v>
      </c>
      <c r="G38" s="210">
        <f t="shared" si="3"/>
        <v>855069</v>
      </c>
      <c r="H38" s="211">
        <f t="shared" si="3"/>
        <v>0</v>
      </c>
      <c r="I38" s="211">
        <f t="shared" si="3"/>
        <v>4164</v>
      </c>
      <c r="J38" s="212">
        <f t="shared" si="3"/>
        <v>315407</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1104331</v>
      </c>
      <c r="F39" s="221">
        <f t="shared" si="4"/>
        <v>1015930</v>
      </c>
      <c r="G39" s="222">
        <f t="shared" si="4"/>
        <v>700523</v>
      </c>
      <c r="H39" s="223">
        <f t="shared" si="4"/>
        <v>0</v>
      </c>
      <c r="I39" s="223">
        <f t="shared" si="4"/>
        <v>0</v>
      </c>
      <c r="J39" s="224">
        <f t="shared" si="4"/>
        <v>315407</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[11]OTCHET!E187</f>
        <v>790460</v>
      </c>
      <c r="F40" s="229">
        <f t="shared" si="1"/>
        <v>726067</v>
      </c>
      <c r="G40" s="230">
        <f>[11]OTCHET!G187</f>
        <v>643262</v>
      </c>
      <c r="H40" s="231">
        <f>[11]OTCHET!H187</f>
        <v>0</v>
      </c>
      <c r="I40" s="231">
        <f>[11]OTCHET!I187</f>
        <v>0</v>
      </c>
      <c r="J40" s="232">
        <f>[11]OTCHET!J187</f>
        <v>82805</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[11]OTCHET!E190</f>
        <v>63748</v>
      </c>
      <c r="F41" s="237">
        <f t="shared" si="1"/>
        <v>60942</v>
      </c>
      <c r="G41" s="238">
        <f>[11]OTCHET!G190</f>
        <v>57261</v>
      </c>
      <c r="H41" s="239">
        <f>[11]OTCHET!H190</f>
        <v>0</v>
      </c>
      <c r="I41" s="239">
        <f>[11]OTCHET!I190</f>
        <v>0</v>
      </c>
      <c r="J41" s="240">
        <f>[11]OTCHET!J190</f>
        <v>3681</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+[11]OTCHET!E196+[11]OTCHET!E204</f>
        <v>250123</v>
      </c>
      <c r="F42" s="244">
        <f t="shared" si="1"/>
        <v>228921</v>
      </c>
      <c r="G42" s="245">
        <f>+[11]OTCHET!G196+[11]OTCHET!G204</f>
        <v>0</v>
      </c>
      <c r="H42" s="246">
        <f>+[11]OTCHET!H196+[11]OTCHET!H204</f>
        <v>0</v>
      </c>
      <c r="I42" s="246">
        <f>+[11]OTCHET!I196+[11]OTCHET!I204</f>
        <v>0</v>
      </c>
      <c r="J42" s="247">
        <f>+[11]OTCHET!J196+[11]OTCHET!J204</f>
        <v>228921</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+[11]OTCHET!E205+[11]OTCHET!E223+[11]OTCHET!E271</f>
        <v>184937</v>
      </c>
      <c r="F43" s="250">
        <f t="shared" si="1"/>
        <v>154442</v>
      </c>
      <c r="G43" s="251">
        <f>+[11]OTCHET!G205+[11]OTCHET!G223+[11]OTCHET!G271</f>
        <v>150278</v>
      </c>
      <c r="H43" s="252">
        <f>+[11]OTCHET!H205+[11]OTCHET!H223+[11]OTCHET!H271</f>
        <v>0</v>
      </c>
      <c r="I43" s="252">
        <f>+[11]OTCHET!I205+[11]OTCHET!I223+[11]OTCHET!I271</f>
        <v>4164</v>
      </c>
      <c r="J43" s="253">
        <f>+[11]OTCHET!J205+[11]OTCHET!J223+[11]OTCHET!J271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+[11]OTCHET!E227+[11]OTCHET!E233+[11]OTCHET!E236+[11]OTCHET!E237+[11]OTCHET!E238+[11]OTCHET!E239+[11]OTCHET!E240</f>
        <v>0</v>
      </c>
      <c r="F44" s="120">
        <f t="shared" si="1"/>
        <v>0</v>
      </c>
      <c r="G44" s="121">
        <f>+[11]OTCHET!G227+[11]OTCHET!G233+[11]OTCHET!G236+[11]OTCHET!G237+[11]OTCHET!G238+[11]OTCHET!G239+[11]OTCHET!G240</f>
        <v>0</v>
      </c>
      <c r="H44" s="122">
        <f>+[11]OTCHET!H227+[11]OTCHET!H233+[11]OTCHET!H236+[11]OTCHET!H237+[11]OTCHET!H238+[11]OTCHET!H239+[11]OTCHET!H240</f>
        <v>0</v>
      </c>
      <c r="I44" s="122">
        <f>+[11]OTCHET!I227+[11]OTCHET!I233+[11]OTCHET!I236+[11]OTCHET!I237+[11]OTCHET!I238+[11]OTCHET!I239+[11]OTCHET!I240</f>
        <v>0</v>
      </c>
      <c r="J44" s="123">
        <f>+[11]OTCHET!J227+[11]OTCHET!J233+[11]OTCHET!J236+[11]OTCHET!J237+[11]OTCHET!J238+[11]OTCHET!J239+[11]OTCHET!J240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+[11]OTCHET!E236+[11]OTCHET!E237+[11]OTCHET!E238+[11]OTCHET!E239+[11]OTCHET!E243+[11]OTCHET!E244+[11]OTCHET!E248</f>
        <v>0</v>
      </c>
      <c r="F45" s="256">
        <f t="shared" si="1"/>
        <v>0</v>
      </c>
      <c r="G45" s="257">
        <f>+[11]OTCHET!G236+[11]OTCHET!G237+[11]OTCHET!G238+[11]OTCHET!G239+[11]OTCHET!G243+[11]OTCHET!G244+[11]OTCHET!G248</f>
        <v>0</v>
      </c>
      <c r="H45" s="258">
        <f>+[11]OTCHET!H236+[11]OTCHET!H237+[11]OTCHET!H238+[11]OTCHET!H239+[11]OTCHET!H243+[11]OTCHET!H244+[11]OTCHET!H248</f>
        <v>0</v>
      </c>
      <c r="I45" s="259">
        <f>+[11]OTCHET!I236+[11]OTCHET!I237+[11]OTCHET!I238+[11]OTCHET!I239+[11]OTCHET!I243+[11]OTCHET!I244+[11]OTCHET!I248</f>
        <v>0</v>
      </c>
      <c r="J45" s="260">
        <f>+[11]OTCHET!J236+[11]OTCHET!J237+[11]OTCHET!J238+[11]OTCHET!J239+[11]OTCHET!J243+[11]OTCHET!J244+[11]OTCHET!J248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+[11]OTCHET!E255+[11]OTCHET!E256+[11]OTCHET!E257+[11]OTCHET!E258</f>
        <v>0</v>
      </c>
      <c r="F46" s="250">
        <f t="shared" si="1"/>
        <v>0</v>
      </c>
      <c r="G46" s="251">
        <f>+[11]OTCHET!G255+[11]OTCHET!G256+[11]OTCHET!G257+[11]OTCHET!G258</f>
        <v>0</v>
      </c>
      <c r="H46" s="252">
        <f>+[11]OTCHET!H255+[11]OTCHET!H256+[11]OTCHET!H257+[11]OTCHET!H258</f>
        <v>0</v>
      </c>
      <c r="I46" s="252">
        <f>+[11]OTCHET!I255+[11]OTCHET!I256+[11]OTCHET!I257+[11]OTCHET!I258</f>
        <v>0</v>
      </c>
      <c r="J46" s="253">
        <f>+[11]OTCHET!J255+[11]OTCHET!J256+[11]OTCHET!J257+[11]OTCHET!J258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+[11]OTCHET!E256</f>
        <v>0</v>
      </c>
      <c r="F47" s="256">
        <f t="shared" si="1"/>
        <v>0</v>
      </c>
      <c r="G47" s="257">
        <f>+[11]OTCHET!G256</f>
        <v>0</v>
      </c>
      <c r="H47" s="258">
        <f>+[11]OTCHET!H256</f>
        <v>0</v>
      </c>
      <c r="I47" s="259">
        <f>+[11]OTCHET!I256</f>
        <v>0</v>
      </c>
      <c r="J47" s="260">
        <f>+[11]OTCHET!J256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+[11]OTCHET!E265+[11]OTCHET!E269+[11]OTCHET!E270</f>
        <v>0</v>
      </c>
      <c r="F48" s="168">
        <f t="shared" si="1"/>
        <v>0</v>
      </c>
      <c r="G48" s="163">
        <f>+[11]OTCHET!G265+[11]OTCHET!G269+[11]OTCHET!G270</f>
        <v>0</v>
      </c>
      <c r="H48" s="164">
        <f>+[11]OTCHET!H265+[11]OTCHET!H269+[11]OTCHET!H270</f>
        <v>0</v>
      </c>
      <c r="I48" s="164">
        <f>+[11]OTCHET!I265+[11]OTCHET!I269+[11]OTCHET!I270</f>
        <v>0</v>
      </c>
      <c r="J48" s="165">
        <f>+[11]OTCHET!J265+[11]OTCHET!J269+[11]OTCHET!J270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[11]OTCHET!E275+[11]OTCHET!E276+[11]OTCHET!E284+[11]OTCHET!E287</f>
        <v>4600</v>
      </c>
      <c r="F49" s="168">
        <f t="shared" si="1"/>
        <v>4268</v>
      </c>
      <c r="G49" s="169">
        <f>[11]OTCHET!G275+[11]OTCHET!G276+[11]OTCHET!G284+[11]OTCHET!G287</f>
        <v>4268</v>
      </c>
      <c r="H49" s="170">
        <f>[11]OTCHET!H275+[11]OTCHET!H276+[11]OTCHET!H284+[11]OTCHET!H287</f>
        <v>0</v>
      </c>
      <c r="I49" s="170">
        <f>[11]OTCHET!I275+[11]OTCHET!I276+[11]OTCHET!I284+[11]OTCHET!I287</f>
        <v>0</v>
      </c>
      <c r="J49" s="171">
        <f>[11]OTCHET!J275+[11]OTCHET!J276+[11]OTCHET!J284+[11]OTCHET!J287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+[11]OTCHET!E288</f>
        <v>0</v>
      </c>
      <c r="F50" s="168">
        <f t="shared" si="1"/>
        <v>0</v>
      </c>
      <c r="G50" s="169">
        <f>+[11]OTCHET!G288</f>
        <v>0</v>
      </c>
      <c r="H50" s="170">
        <f>+[11]OTCHET!H288</f>
        <v>0</v>
      </c>
      <c r="I50" s="170">
        <f>+[11]OTCHET!I288</f>
        <v>0</v>
      </c>
      <c r="J50" s="171">
        <f>+[11]OTCHET!J288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+[11]OTCHET!E272</f>
        <v>0</v>
      </c>
      <c r="F51" s="120">
        <f>+G51+H51+I51+J51</f>
        <v>0</v>
      </c>
      <c r="G51" s="121">
        <f>+[11]OTCHET!G272</f>
        <v>0</v>
      </c>
      <c r="H51" s="122">
        <f>+[11]OTCHET!H272</f>
        <v>0</v>
      </c>
      <c r="I51" s="122">
        <f>+[11]OTCHET!I272</f>
        <v>0</v>
      </c>
      <c r="J51" s="123">
        <f>+[11]OTCHET!J272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+[11]OTCHET!E293</f>
        <v>0</v>
      </c>
      <c r="F52" s="120">
        <f t="shared" si="1"/>
        <v>0</v>
      </c>
      <c r="G52" s="121">
        <f>+[11]OTCHET!G293</f>
        <v>0</v>
      </c>
      <c r="H52" s="122">
        <f>+[11]OTCHET!H293</f>
        <v>0</v>
      </c>
      <c r="I52" s="122">
        <f>+[11]OTCHET!I293</f>
        <v>0</v>
      </c>
      <c r="J52" s="123">
        <f>+[11]OTCHET!J293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[11]OTCHET!E294</f>
        <v>0</v>
      </c>
      <c r="F53" s="267">
        <f t="shared" si="1"/>
        <v>0</v>
      </c>
      <c r="G53" s="268">
        <f>[11]OTCHET!G294</f>
        <v>0</v>
      </c>
      <c r="H53" s="269">
        <f>[11]OTCHET!H294</f>
        <v>0</v>
      </c>
      <c r="I53" s="269">
        <f>[11]OTCHET!I294</f>
        <v>0</v>
      </c>
      <c r="J53" s="270">
        <f>[11]OTCHET!J294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[11]OTCHET!E296</f>
        <v>0</v>
      </c>
      <c r="F54" s="275">
        <f t="shared" si="1"/>
        <v>0</v>
      </c>
      <c r="G54" s="276">
        <f>[11]OTCHET!G296</f>
        <v>0</v>
      </c>
      <c r="H54" s="277">
        <f>[11]OTCHET!H296</f>
        <v>0</v>
      </c>
      <c r="I54" s="277">
        <f>[11]OTCHET!I296</f>
        <v>0</v>
      </c>
      <c r="J54" s="278">
        <f>[11]OTCHET!J296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+[11]OTCHET!E297</f>
        <v>0</v>
      </c>
      <c r="F55" s="284">
        <f t="shared" si="1"/>
        <v>0</v>
      </c>
      <c r="G55" s="285">
        <f>+[11]OTCHET!G297</f>
        <v>0</v>
      </c>
      <c r="H55" s="286">
        <f>+[11]OTCHET!H297</f>
        <v>0</v>
      </c>
      <c r="I55" s="286">
        <f>+[11]OTCHET!I297</f>
        <v>0</v>
      </c>
      <c r="J55" s="287">
        <f>+[11]OTCHET!J297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1123868</v>
      </c>
      <c r="F56" s="293">
        <f t="shared" si="5"/>
        <v>1036290</v>
      </c>
      <c r="G56" s="294">
        <f t="shared" si="5"/>
        <v>720883</v>
      </c>
      <c r="H56" s="295">
        <f t="shared" si="5"/>
        <v>0</v>
      </c>
      <c r="I56" s="296">
        <f t="shared" si="5"/>
        <v>0</v>
      </c>
      <c r="J56" s="297">
        <f t="shared" si="5"/>
        <v>315407</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+[11]OTCHET!E361+[11]OTCHET!E375+[11]OTCHET!E388</f>
        <v>0</v>
      </c>
      <c r="F57" s="299">
        <f t="shared" si="1"/>
        <v>0</v>
      </c>
      <c r="G57" s="300">
        <f>+[11]OTCHET!G361+[11]OTCHET!G375+[11]OTCHET!G388</f>
        <v>0</v>
      </c>
      <c r="H57" s="301">
        <f>+[11]OTCHET!H361+[11]OTCHET!H375+[11]OTCHET!H388</f>
        <v>0</v>
      </c>
      <c r="I57" s="301">
        <f>+[11]OTCHET!I361+[11]OTCHET!I375+[11]OTCHET!I388</f>
        <v>0</v>
      </c>
      <c r="J57" s="302">
        <f>+[11]OTCHET!J361+[11]OTCHET!J375+[11]OTCHET!J388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+[11]OTCHET!E383+[11]OTCHET!E391+[11]OTCHET!E396+[11]OTCHET!E399+[11]OTCHET!E402+[11]OTCHET!E405+[11]OTCHET!E406+[11]OTCHET!E409+[11]OTCHET!E422+[11]OTCHET!E423+[11]OTCHET!E424+[11]OTCHET!E425+[11]OTCHET!E426</f>
        <v>1123868</v>
      </c>
      <c r="F58" s="304">
        <f t="shared" si="1"/>
        <v>720883</v>
      </c>
      <c r="G58" s="305">
        <f>+[11]OTCHET!G383+[11]OTCHET!G391+[11]OTCHET!G396+[11]OTCHET!G399+[11]OTCHET!G402+[11]OTCHET!G405+[11]OTCHET!G406+[11]OTCHET!G409+[11]OTCHET!G422+[11]OTCHET!G423+[11]OTCHET!G424+[11]OTCHET!G425+[11]OTCHET!G426</f>
        <v>720883</v>
      </c>
      <c r="H58" s="306">
        <f>+[11]OTCHET!H383+[11]OTCHET!H391+[11]OTCHET!H396+[11]OTCHET!H399+[11]OTCHET!H402+[11]OTCHET!H405+[11]OTCHET!H406+[11]OTCHET!H409+[11]OTCHET!H422+[11]OTCHET!H423+[11]OTCHET!H424+[11]OTCHET!H425+[11]OTCHET!H426</f>
        <v>0</v>
      </c>
      <c r="I58" s="306">
        <f>+[11]OTCHET!I383+[11]OTCHET!I391+[11]OTCHET!I396+[11]OTCHET!I399+[11]OTCHET!I402+[11]OTCHET!I405+[11]OTCHET!I406+[11]OTCHET!I409+[11]OTCHET!I422+[11]OTCHET!I423+[11]OTCHET!I424+[11]OTCHET!I425+[11]OTCHET!I426</f>
        <v>0</v>
      </c>
      <c r="J58" s="307">
        <f>+[11]OTCHET!J383+[11]OTCHET!J391+[11]OTCHET!J396+[11]OTCHET!J399+[11]OTCHET!J402+[11]OTCHET!J405+[11]OTCHET!J406+[11]OTCHET!J409+[11]OTCHET!J422+[11]OTCHET!J423+[11]OTCHET!J424+[11]OTCHET!J425+[11]OTCHET!J426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+[11]OTCHET!E422+[11]OTCHET!E423+[11]OTCHET!E424+[11]OTCHET!E425+[11]OTCHET!E426</f>
        <v>0</v>
      </c>
      <c r="F59" s="309">
        <f t="shared" si="1"/>
        <v>0</v>
      </c>
      <c r="G59" s="310">
        <f>+[11]OTCHET!G422+[11]OTCHET!G423+[11]OTCHET!G424+[11]OTCHET!G425+[11]OTCHET!G426</f>
        <v>0</v>
      </c>
      <c r="H59" s="311">
        <f>+[11]OTCHET!H422+[11]OTCHET!H423+[11]OTCHET!H424+[11]OTCHET!H425+[11]OTCHET!H426</f>
        <v>0</v>
      </c>
      <c r="I59" s="311">
        <f>+[11]OTCHET!I422+[11]OTCHET!I423+[11]OTCHET!I424+[11]OTCHET!I425+[11]OTCHET!I426</f>
        <v>0</v>
      </c>
      <c r="J59" s="312">
        <f>+[11]OTCHET!J422+[11]OTCHET!J423+[11]OTCHET!J424+[11]OTCHET!J425+[11]OTCHET!J426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[11]OTCHET!E405</f>
        <v>0</v>
      </c>
      <c r="F60" s="316">
        <f t="shared" si="1"/>
        <v>0</v>
      </c>
      <c r="G60" s="317">
        <f>[11]OTCHET!G405</f>
        <v>0</v>
      </c>
      <c r="H60" s="318">
        <f>[11]OTCHET!H405</f>
        <v>0</v>
      </c>
      <c r="I60" s="318">
        <f>[11]OTCHET!I405</f>
        <v>0</v>
      </c>
      <c r="J60" s="319">
        <f>[11]OTCHET!J405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[11]OTCHET!E412</f>
        <v>0</v>
      </c>
      <c r="F62" s="199">
        <f t="shared" si="1"/>
        <v>315407</v>
      </c>
      <c r="G62" s="200">
        <f>[11]OTCHET!G412</f>
        <v>0</v>
      </c>
      <c r="H62" s="201">
        <f>[11]OTCHET!H412</f>
        <v>0</v>
      </c>
      <c r="I62" s="201">
        <f>[11]OTCHET!I412</f>
        <v>0</v>
      </c>
      <c r="J62" s="202">
        <f>[11]OTCHET!J412</f>
        <v>315407</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+[11]OTCHET!E249</f>
        <v>0</v>
      </c>
      <c r="F63" s="328">
        <f t="shared" si="1"/>
        <v>0</v>
      </c>
      <c r="G63" s="329">
        <f>+[11]OTCHET!G249</f>
        <v>0</v>
      </c>
      <c r="H63" s="330">
        <f>+[11]OTCHET!H249</f>
        <v>0</v>
      </c>
      <c r="I63" s="330">
        <f>+[11]OTCHET!I249</f>
        <v>0</v>
      </c>
      <c r="J63" s="331">
        <f>+[11]OTCHET!J249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-8150</v>
      </c>
      <c r="G64" s="337">
        <f t="shared" si="6"/>
        <v>16414</v>
      </c>
      <c r="H64" s="338">
        <f t="shared" si="6"/>
        <v>0</v>
      </c>
      <c r="I64" s="338">
        <f t="shared" si="6"/>
        <v>-4164</v>
      </c>
      <c r="J64" s="339">
        <f t="shared" si="6"/>
        <v>-20400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8150</v>
      </c>
      <c r="G66" s="349">
        <f t="shared" ref="G66:L66" si="8">SUM(+G68+G76+G77+G84+G85+G86+G89+G90+G91+G92+G93+G94+G95)</f>
        <v>-16414</v>
      </c>
      <c r="H66" s="350">
        <f>SUM(+H68+H76+H77+H84+H85+H86+H89+H90+H91+H92+H93+H94+H95)</f>
        <v>0</v>
      </c>
      <c r="I66" s="350">
        <f>SUM(+I68+I76+I77+I84+I85+I86+I89+I90+I91+I92+I93+I94+I95)</f>
        <v>4164</v>
      </c>
      <c r="J66" s="351">
        <f>SUM(+J68+J76+J77+J84+J85+J86+J89+J90+J91+J92+J93+J94+J95)</f>
        <v>20400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+[11]OTCHET!E482+[11]OTCHET!E483+[11]OTCHET!E486+[11]OTCHET!E487+[11]OTCHET!E490+[11]OTCHET!E491+[11]OTCHET!E495</f>
        <v>0</v>
      </c>
      <c r="F69" s="367">
        <f t="shared" si="1"/>
        <v>0</v>
      </c>
      <c r="G69" s="368">
        <f>+[11]OTCHET!G482+[11]OTCHET!G483+[11]OTCHET!G486+[11]OTCHET!G487+[11]OTCHET!G490+[11]OTCHET!G491+[11]OTCHET!G495</f>
        <v>0</v>
      </c>
      <c r="H69" s="369">
        <f>+[11]OTCHET!H482+[11]OTCHET!H483+[11]OTCHET!H486+[11]OTCHET!H487+[11]OTCHET!H490+[11]OTCHET!H491+[11]OTCHET!H495</f>
        <v>0</v>
      </c>
      <c r="I69" s="369">
        <f>+[11]OTCHET!I482+[11]OTCHET!I483+[11]OTCHET!I486+[11]OTCHET!I487+[11]OTCHET!I490+[11]OTCHET!I491+[11]OTCHET!I495</f>
        <v>0</v>
      </c>
      <c r="J69" s="370">
        <f>+[11]OTCHET!J482+[11]OTCHET!J483+[11]OTCHET!J486+[11]OTCHET!J487+[11]OTCHET!J490+[11]OTCHET!J491+[11]OTCHET!J495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+[11]OTCHET!E484+[11]OTCHET!E485+[11]OTCHET!E488+[11]OTCHET!E489+[11]OTCHET!E492+[11]OTCHET!E493+[11]OTCHET!E494+[11]OTCHET!E496</f>
        <v>0</v>
      </c>
      <c r="F70" s="375">
        <f t="shared" si="1"/>
        <v>0</v>
      </c>
      <c r="G70" s="376">
        <f>+[11]OTCHET!G484+[11]OTCHET!G485+[11]OTCHET!G488+[11]OTCHET!G489+[11]OTCHET!G492+[11]OTCHET!G493+[11]OTCHET!G494+[11]OTCHET!G496</f>
        <v>0</v>
      </c>
      <c r="H70" s="377">
        <f>+[11]OTCHET!H484+[11]OTCHET!H485+[11]OTCHET!H488+[11]OTCHET!H489+[11]OTCHET!H492+[11]OTCHET!H493+[11]OTCHET!H494+[11]OTCHET!H496</f>
        <v>0</v>
      </c>
      <c r="I70" s="377">
        <f>+[11]OTCHET!I484+[11]OTCHET!I485+[11]OTCHET!I488+[11]OTCHET!I489+[11]OTCHET!I492+[11]OTCHET!I493+[11]OTCHET!I494+[11]OTCHET!I496</f>
        <v>0</v>
      </c>
      <c r="J70" s="378">
        <f>+[11]OTCHET!J484+[11]OTCHET!J485+[11]OTCHET!J488+[11]OTCHET!J489+[11]OTCHET!J492+[11]OTCHET!J493+[11]OTCHET!J494+[11]OTCHET!J496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+[11]OTCHET!E497</f>
        <v>0</v>
      </c>
      <c r="F71" s="375">
        <f t="shared" si="1"/>
        <v>0</v>
      </c>
      <c r="G71" s="376">
        <f>+[11]OTCHET!G497</f>
        <v>0</v>
      </c>
      <c r="H71" s="377">
        <f>+[11]OTCHET!H497</f>
        <v>0</v>
      </c>
      <c r="I71" s="377">
        <f>+[11]OTCHET!I497</f>
        <v>0</v>
      </c>
      <c r="J71" s="378">
        <f>+[11]OTCHET!J497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+[11]OTCHET!E502</f>
        <v>0</v>
      </c>
      <c r="F72" s="375">
        <f t="shared" si="1"/>
        <v>0</v>
      </c>
      <c r="G72" s="376">
        <f>+[11]OTCHET!G502</f>
        <v>0</v>
      </c>
      <c r="H72" s="377">
        <f>+[11]OTCHET!H502</f>
        <v>0</v>
      </c>
      <c r="I72" s="377">
        <f>+[11]OTCHET!I502</f>
        <v>0</v>
      </c>
      <c r="J72" s="378">
        <f>+[11]OTCHET!J502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+[11]OTCHET!E542</f>
        <v>0</v>
      </c>
      <c r="F73" s="375">
        <f t="shared" si="1"/>
        <v>0</v>
      </c>
      <c r="G73" s="376">
        <f>+[11]OTCHET!G542</f>
        <v>0</v>
      </c>
      <c r="H73" s="377">
        <f>+[11]OTCHET!H542</f>
        <v>0</v>
      </c>
      <c r="I73" s="377">
        <f>+[11]OTCHET!I542</f>
        <v>0</v>
      </c>
      <c r="J73" s="378">
        <f>+[11]OTCHET!J542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+[11]OTCHET!E581+[11]OTCHET!E582</f>
        <v>0</v>
      </c>
      <c r="F74" s="375">
        <f t="shared" si="1"/>
        <v>0</v>
      </c>
      <c r="G74" s="376">
        <f>+[11]OTCHET!G581+[11]OTCHET!G582</f>
        <v>0</v>
      </c>
      <c r="H74" s="377">
        <f>+[11]OTCHET!H581+[11]OTCHET!H582</f>
        <v>0</v>
      </c>
      <c r="I74" s="377">
        <f>+[11]OTCHET!I581+[11]OTCHET!I582</f>
        <v>0</v>
      </c>
      <c r="J74" s="378">
        <f>+[11]OTCHET!J581+[11]OTCHET!J582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+[11]OTCHET!E583+[11]OTCHET!E584+[11]OTCHET!E585</f>
        <v>0</v>
      </c>
      <c r="F75" s="382">
        <f t="shared" si="1"/>
        <v>0</v>
      </c>
      <c r="G75" s="383">
        <f>+[11]OTCHET!G583+[11]OTCHET!G584+[11]OTCHET!G585</f>
        <v>0</v>
      </c>
      <c r="H75" s="384">
        <f>+[11]OTCHET!H583+[11]OTCHET!H584+[11]OTCHET!H585</f>
        <v>0</v>
      </c>
      <c r="I75" s="384">
        <f>+[11]OTCHET!I583+[11]OTCHET!I584+[11]OTCHET!I585</f>
        <v>0</v>
      </c>
      <c r="J75" s="385">
        <f>+[11]OTCHET!J583+[11]OTCHET!J584+[11]OTCHET!J585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[11]OTCHET!E461</f>
        <v>0</v>
      </c>
      <c r="F76" s="299">
        <f t="shared" si="1"/>
        <v>0</v>
      </c>
      <c r="G76" s="300">
        <f>[11]OTCHET!G461</f>
        <v>0</v>
      </c>
      <c r="H76" s="301">
        <f>[11]OTCHET!H461</f>
        <v>0</v>
      </c>
      <c r="I76" s="301">
        <f>[11]OTCHET!I461</f>
        <v>0</v>
      </c>
      <c r="J76" s="302">
        <f>[11]OTCHET!J461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+[11]OTCHET!E466+[11]OTCHET!E469</f>
        <v>0</v>
      </c>
      <c r="F78" s="367">
        <f t="shared" si="1"/>
        <v>0</v>
      </c>
      <c r="G78" s="368">
        <f>+[11]OTCHET!G466+[11]OTCHET!G469</f>
        <v>0</v>
      </c>
      <c r="H78" s="369">
        <f>+[11]OTCHET!H466+[11]OTCHET!H469</f>
        <v>0</v>
      </c>
      <c r="I78" s="369">
        <f>+[11]OTCHET!I466+[11]OTCHET!I469</f>
        <v>0</v>
      </c>
      <c r="J78" s="370">
        <f>+[11]OTCHET!J466+[11]OTCHET!J469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+[11]OTCHET!E467+[11]OTCHET!E470</f>
        <v>0</v>
      </c>
      <c r="F79" s="375">
        <f t="shared" si="1"/>
        <v>0</v>
      </c>
      <c r="G79" s="376">
        <f>+[11]OTCHET!G467+[11]OTCHET!G470</f>
        <v>0</v>
      </c>
      <c r="H79" s="377">
        <f>+[11]OTCHET!H467+[11]OTCHET!H470</f>
        <v>0</v>
      </c>
      <c r="I79" s="377">
        <f>+[11]OTCHET!I467+[11]OTCHET!I470</f>
        <v>0</v>
      </c>
      <c r="J79" s="378">
        <f>+[11]OTCHET!J467+[11]OTCHET!J470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[11]OTCHET!E471</f>
        <v>0</v>
      </c>
      <c r="F80" s="375">
        <f t="shared" si="1"/>
        <v>0</v>
      </c>
      <c r="G80" s="376">
        <f>[11]OTCHET!G471</f>
        <v>0</v>
      </c>
      <c r="H80" s="377">
        <f>[11]OTCHET!H471</f>
        <v>0</v>
      </c>
      <c r="I80" s="377">
        <f>[11]OTCHET!I471</f>
        <v>0</v>
      </c>
      <c r="J80" s="378">
        <f>[11]OTCHET!J471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+[11]OTCHET!E479</f>
        <v>0</v>
      </c>
      <c r="F82" s="375">
        <f t="shared" si="1"/>
        <v>0</v>
      </c>
      <c r="G82" s="376">
        <f>+[11]OTCHET!G479</f>
        <v>0</v>
      </c>
      <c r="H82" s="377">
        <f>+[11]OTCHET!H479</f>
        <v>0</v>
      </c>
      <c r="I82" s="377">
        <f>+[11]OTCHET!I479</f>
        <v>0</v>
      </c>
      <c r="J82" s="378">
        <f>+[11]OTCHET!J479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+[11]OTCHET!E480</f>
        <v>0</v>
      </c>
      <c r="F83" s="382">
        <f t="shared" si="1"/>
        <v>0</v>
      </c>
      <c r="G83" s="383">
        <f>+[11]OTCHET!G480</f>
        <v>0</v>
      </c>
      <c r="H83" s="384">
        <f>+[11]OTCHET!H480</f>
        <v>0</v>
      </c>
      <c r="I83" s="384">
        <f>+[11]OTCHET!I480</f>
        <v>0</v>
      </c>
      <c r="J83" s="385">
        <f>+[11]OTCHET!J480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[11]OTCHET!E535</f>
        <v>0</v>
      </c>
      <c r="F84" s="299">
        <f t="shared" si="1"/>
        <v>0</v>
      </c>
      <c r="G84" s="300">
        <f>[11]OTCHET!G535</f>
        <v>0</v>
      </c>
      <c r="H84" s="301">
        <f>[11]OTCHET!H535</f>
        <v>0</v>
      </c>
      <c r="I84" s="301">
        <f>[11]OTCHET!I535</f>
        <v>0</v>
      </c>
      <c r="J84" s="302">
        <f>[11]OTCHET!J535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[11]OTCHET!E536</f>
        <v>0</v>
      </c>
      <c r="F85" s="304">
        <f t="shared" si="1"/>
        <v>0</v>
      </c>
      <c r="G85" s="305">
        <f>[11]OTCHET!G536</f>
        <v>0</v>
      </c>
      <c r="H85" s="306">
        <f>[11]OTCHET!H536</f>
        <v>0</v>
      </c>
      <c r="I85" s="306">
        <f>[11]OTCHET!I536</f>
        <v>0</v>
      </c>
      <c r="J85" s="307">
        <f>[11]OTCHET!J536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8786</v>
      </c>
      <c r="G86" s="310">
        <f t="shared" ref="G86:M86" si="11">+G87+G88</f>
        <v>-11614</v>
      </c>
      <c r="H86" s="311">
        <f>+H87+H88</f>
        <v>0</v>
      </c>
      <c r="I86" s="311">
        <f>+I87+I88</f>
        <v>0</v>
      </c>
      <c r="J86" s="312">
        <f>+J87+J88</f>
        <v>20400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+[11]OTCHET!E503+[11]OTCHET!E512+[11]OTCHET!E516+[11]OTCHET!E543</f>
        <v>0</v>
      </c>
      <c r="F87" s="367">
        <f t="shared" si="1"/>
        <v>0</v>
      </c>
      <c r="G87" s="368">
        <f>+[11]OTCHET!G503+[11]OTCHET!G512+[11]OTCHET!G516+[11]OTCHET!G543</f>
        <v>0</v>
      </c>
      <c r="H87" s="369">
        <f>+[11]OTCHET!H503+[11]OTCHET!H512+[11]OTCHET!H516+[11]OTCHET!H543</f>
        <v>0</v>
      </c>
      <c r="I87" s="369">
        <f>+[11]OTCHET!I503+[11]OTCHET!I512+[11]OTCHET!I516+[11]OTCHET!I543</f>
        <v>0</v>
      </c>
      <c r="J87" s="370">
        <f>+[11]OTCHET!J503+[11]OTCHET!J512+[11]OTCHET!J516+[11]OTCHET!J543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+[11]OTCHET!E521+[11]OTCHET!E524+[11]OTCHET!E544</f>
        <v>0</v>
      </c>
      <c r="F88" s="382">
        <f t="shared" si="1"/>
        <v>8786</v>
      </c>
      <c r="G88" s="383">
        <f>+[11]OTCHET!G521+[11]OTCHET!G524+[11]OTCHET!G544</f>
        <v>-11614</v>
      </c>
      <c r="H88" s="384">
        <f>+[11]OTCHET!H521+[11]OTCHET!H524+[11]OTCHET!H544</f>
        <v>0</v>
      </c>
      <c r="I88" s="384">
        <f>+[11]OTCHET!I521+[11]OTCHET!I524+[11]OTCHET!I544</f>
        <v>0</v>
      </c>
      <c r="J88" s="385">
        <f>+[11]OTCHET!J521+[11]OTCHET!J524+[11]OTCHET!J544</f>
        <v>20400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[11]OTCHET!E531</f>
        <v>0</v>
      </c>
      <c r="F89" s="299">
        <f t="shared" ref="F89:F96" si="12">+G89+H89+I89+J89</f>
        <v>0</v>
      </c>
      <c r="G89" s="300">
        <f>[11]OTCHET!G531</f>
        <v>0</v>
      </c>
      <c r="H89" s="301">
        <f>[11]OTCHET!H531</f>
        <v>0</v>
      </c>
      <c r="I89" s="301">
        <f>[11]OTCHET!I531</f>
        <v>0</v>
      </c>
      <c r="J89" s="302">
        <f>[11]OTCHET!J531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+[11]OTCHET!E567+[11]OTCHET!E568+[11]OTCHET!E569+[11]OTCHET!E570+[11]OTCHET!E571+[11]OTCHET!E572</f>
        <v>0</v>
      </c>
      <c r="F90" s="304">
        <f t="shared" si="12"/>
        <v>0</v>
      </c>
      <c r="G90" s="305">
        <f>+[11]OTCHET!G567+[11]OTCHET!G568+[11]OTCHET!G569+[11]OTCHET!G570+[11]OTCHET!G571+[11]OTCHET!G572</f>
        <v>0</v>
      </c>
      <c r="H90" s="306">
        <f>+[11]OTCHET!H567+[11]OTCHET!H568+[11]OTCHET!H569+[11]OTCHET!H570+[11]OTCHET!H571+[11]OTCHET!H572</f>
        <v>0</v>
      </c>
      <c r="I90" s="306">
        <f>+[11]OTCHET!I567+[11]OTCHET!I568+[11]OTCHET!I569+[11]OTCHET!I570+[11]OTCHET!I571+[11]OTCHET!I572</f>
        <v>0</v>
      </c>
      <c r="J90" s="307">
        <f>+[11]OTCHET!J567+[11]OTCHET!J568+[11]OTCHET!J569+[11]OTCHET!J570+[11]OTCHET!J571+[11]OTCHET!J572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+[11]OTCHET!E573+[11]OTCHET!E574+[11]OTCHET!E575+[11]OTCHET!E576+[11]OTCHET!E577+[11]OTCHET!E578+[11]OTCHET!E579</f>
        <v>0</v>
      </c>
      <c r="F91" s="168">
        <f t="shared" si="12"/>
        <v>-636</v>
      </c>
      <c r="G91" s="169">
        <f>+[11]OTCHET!G573+[11]OTCHET!G574+[11]OTCHET!G575+[11]OTCHET!G576+[11]OTCHET!G577+[11]OTCHET!G578+[11]OTCHET!G579</f>
        <v>0</v>
      </c>
      <c r="H91" s="170">
        <f>+[11]OTCHET!H573+[11]OTCHET!H574+[11]OTCHET!H575+[11]OTCHET!H576+[11]OTCHET!H577+[11]OTCHET!H578+[11]OTCHET!H579</f>
        <v>0</v>
      </c>
      <c r="I91" s="170">
        <f>+[11]OTCHET!I573+[11]OTCHET!I574+[11]OTCHET!I575+[11]OTCHET!I576+[11]OTCHET!I577+[11]OTCHET!I578+[11]OTCHET!I579</f>
        <v>-636</v>
      </c>
      <c r="J91" s="171">
        <f>+[11]OTCHET!J573+[11]OTCHET!J574+[11]OTCHET!J575+[11]OTCHET!J576+[11]OTCHET!J577+[11]OTCHET!J578+[11]OTCHET!J579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+[11]OTCHET!E580</f>
        <v>0</v>
      </c>
      <c r="F92" s="168">
        <f t="shared" si="12"/>
        <v>0</v>
      </c>
      <c r="G92" s="169">
        <f>+[11]OTCHET!G580</f>
        <v>0</v>
      </c>
      <c r="H92" s="170">
        <f>+[11]OTCHET!H580</f>
        <v>0</v>
      </c>
      <c r="I92" s="170">
        <f>+[11]OTCHET!I580</f>
        <v>0</v>
      </c>
      <c r="J92" s="171">
        <f>+[11]OTCHET!J580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+[11]OTCHET!E587+[11]OTCHET!E588</f>
        <v>0</v>
      </c>
      <c r="F93" s="168">
        <f t="shared" si="12"/>
        <v>0</v>
      </c>
      <c r="G93" s="169">
        <f>+[11]OTCHET!G587+[11]OTCHET!G588</f>
        <v>0</v>
      </c>
      <c r="H93" s="170">
        <f>+[11]OTCHET!H587+[11]OTCHET!H588</f>
        <v>0</v>
      </c>
      <c r="I93" s="170">
        <f>+[11]OTCHET!I587+[11]OTCHET!I588</f>
        <v>0</v>
      </c>
      <c r="J93" s="171">
        <f>+[11]OTCHET!J587+[11]OTCHET!J588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+[11]OTCHET!E589+[11]OTCHET!E590</f>
        <v>0</v>
      </c>
      <c r="F94" s="168">
        <f t="shared" si="12"/>
        <v>0</v>
      </c>
      <c r="G94" s="169">
        <f>+[11]OTCHET!G589+[11]OTCHET!G590</f>
        <v>0</v>
      </c>
      <c r="H94" s="170">
        <f>+[11]OTCHET!H589+[11]OTCHET!H590</f>
        <v>0</v>
      </c>
      <c r="I94" s="170">
        <f>+[11]OTCHET!I589+[11]OTCHET!I590</f>
        <v>0</v>
      </c>
      <c r="J94" s="171">
        <f>+[11]OTCHET!J589+[11]OTCHET!J590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[11]OTCHET!E591</f>
        <v>0</v>
      </c>
      <c r="F95" s="120">
        <f t="shared" si="12"/>
        <v>0</v>
      </c>
      <c r="G95" s="121">
        <f>[11]OTCHET!G591</f>
        <v>-4800</v>
      </c>
      <c r="H95" s="122">
        <f>[11]OTCHET!H591</f>
        <v>0</v>
      </c>
      <c r="I95" s="122">
        <f>[11]OTCHET!I591</f>
        <v>4800</v>
      </c>
      <c r="J95" s="123">
        <f>[11]OTCHET!J591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+[11]OTCHET!E594</f>
        <v>0</v>
      </c>
      <c r="F96" s="396">
        <f t="shared" si="12"/>
        <v>0</v>
      </c>
      <c r="G96" s="397">
        <f>+[11]OTCHET!G594</f>
        <v>0</v>
      </c>
      <c r="H96" s="398">
        <f>+[11]OTCHET!H594</f>
        <v>0</v>
      </c>
      <c r="I96" s="398">
        <f>+[11]OTCHET!I594</f>
        <v>0</v>
      </c>
      <c r="J96" s="399">
        <f>+[11]OTCHET!J594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+[11]OTCHET!H605</f>
        <v>0</v>
      </c>
      <c r="C107" s="421"/>
      <c r="D107" s="421"/>
      <c r="E107" s="426"/>
      <c r="F107" s="19"/>
      <c r="G107" s="427">
        <f>+[11]OTCHET!E605</f>
        <v>0</v>
      </c>
      <c r="H107" s="427">
        <f>+[11]OTCHET!F605</f>
        <v>0</v>
      </c>
      <c r="I107" s="428"/>
      <c r="J107" s="429" t="str">
        <f>+[11]OTCHET!B605</f>
        <v>30.11.2023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41" priority="21" stopIfTrue="1" operator="notEqual">
      <formula>0</formula>
    </cfRule>
  </conditionalFormatting>
  <conditionalFormatting sqref="E105:J105">
    <cfRule type="cellIs" dxfId="40" priority="20" stopIfTrue="1" operator="notEqual">
      <formula>0</formula>
    </cfRule>
  </conditionalFormatting>
  <conditionalFormatting sqref="G107:H107 B107">
    <cfRule type="cellIs" dxfId="39" priority="19" stopIfTrue="1" operator="equal">
      <formula>0</formula>
    </cfRule>
  </conditionalFormatting>
  <conditionalFormatting sqref="I114 E110">
    <cfRule type="cellIs" dxfId="38" priority="18" stopIfTrue="1" operator="equal">
      <formula>0</formula>
    </cfRule>
  </conditionalFormatting>
  <conditionalFormatting sqref="J107">
    <cfRule type="cellIs" dxfId="37" priority="17" stopIfTrue="1" operator="equal">
      <formula>0</formula>
    </cfRule>
  </conditionalFormatting>
  <conditionalFormatting sqref="E114:F114">
    <cfRule type="cellIs" dxfId="36" priority="16" stopIfTrue="1" operator="equal">
      <formula>0</formula>
    </cfRule>
  </conditionalFormatting>
  <conditionalFormatting sqref="F15">
    <cfRule type="cellIs" dxfId="35" priority="11" stopIfTrue="1" operator="equal">
      <formula>"Чужди средства"</formula>
    </cfRule>
    <cfRule type="cellIs" dxfId="34" priority="12" stopIfTrue="1" operator="equal">
      <formula>"СЕС - ДМП"</formula>
    </cfRule>
    <cfRule type="cellIs" dxfId="33" priority="13" stopIfTrue="1" operator="equal">
      <formula>"СЕС - РА"</formula>
    </cfRule>
    <cfRule type="cellIs" dxfId="32" priority="14" stopIfTrue="1" operator="equal">
      <formula>"СЕС - ДЕС"</formula>
    </cfRule>
    <cfRule type="cellIs" dxfId="31" priority="15" stopIfTrue="1" operator="equal">
      <formula>"СЕС - КСФ"</formula>
    </cfRule>
  </conditionalFormatting>
  <conditionalFormatting sqref="B105">
    <cfRule type="cellIs" dxfId="30" priority="10" stopIfTrue="1" operator="notEqual">
      <formula>0</formula>
    </cfRule>
  </conditionalFormatting>
  <conditionalFormatting sqref="I11:J11">
    <cfRule type="cellIs" dxfId="29" priority="6" stopIfTrue="1" operator="between">
      <formula>1000000000000</formula>
      <formula>9999999999999990</formula>
    </cfRule>
    <cfRule type="cellIs" dxfId="28" priority="7" stopIfTrue="1" operator="between">
      <formula>10000000000</formula>
      <formula>999999999999</formula>
    </cfRule>
    <cfRule type="cellIs" dxfId="27" priority="8" stopIfTrue="1" operator="between">
      <formula>1000000</formula>
      <formula>99999999</formula>
    </cfRule>
    <cfRule type="cellIs" dxfId="26" priority="9" stopIfTrue="1" operator="between">
      <formula>100</formula>
      <formula>9999</formula>
    </cfRule>
  </conditionalFormatting>
  <conditionalFormatting sqref="E15">
    <cfRule type="cellIs" dxfId="25" priority="1" stopIfTrue="1" operator="equal">
      <formula>"Чужди средства"</formula>
    </cfRule>
    <cfRule type="cellIs" dxfId="24" priority="2" stopIfTrue="1" operator="equal">
      <formula>"СЕС - ДМП"</formula>
    </cfRule>
    <cfRule type="cellIs" dxfId="23" priority="3" stopIfTrue="1" operator="equal">
      <formula>"СЕС - РА"</formula>
    </cfRule>
    <cfRule type="cellIs" dxfId="22" priority="4" stopIfTrue="1" operator="equal">
      <formula>"СЕС - ДЕС"</formula>
    </cfRule>
    <cfRule type="cellIs" dxfId="2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abSelected="1" topLeftCell="B72" workbookViewId="0">
      <selection activeCell="E42" sqref="E42"/>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+[12]OTCHET!B9</f>
        <v>РИОСВ - ПЛОВДИВ</v>
      </c>
      <c r="C11" s="22"/>
      <c r="D11" s="22"/>
      <c r="E11" s="23" t="s">
        <v>0</v>
      </c>
      <c r="F11" s="24">
        <f>[12]OTCHET!F9</f>
        <v>45291</v>
      </c>
      <c r="G11" s="25" t="s">
        <v>1</v>
      </c>
      <c r="H11" s="26">
        <f>+[12]OTCHET!H9</f>
        <v>471013</v>
      </c>
      <c r="I11" s="448">
        <f>+[12]OTCHET!I9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+[12]OTCHET!B12</f>
        <v>Министерство на околната среда и водите</v>
      </c>
      <c r="C13" s="31"/>
      <c r="D13" s="31"/>
      <c r="E13" s="35" t="str">
        <f>+[12]OTCHET!E12</f>
        <v>код по ЕБК:</v>
      </c>
      <c r="F13" s="36" t="str">
        <f>+[12]OTCHET!F12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+[12]OTCHET!E15</f>
        <v>0</v>
      </c>
      <c r="F15" s="41" t="str">
        <f>[12]OTCHET!F15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170000</v>
      </c>
      <c r="F22" s="102">
        <f t="shared" si="0"/>
        <v>140399</v>
      </c>
      <c r="G22" s="103">
        <f t="shared" si="0"/>
        <v>161199</v>
      </c>
      <c r="H22" s="104">
        <f t="shared" si="0"/>
        <v>0</v>
      </c>
      <c r="I22" s="104">
        <f t="shared" si="0"/>
        <v>0</v>
      </c>
      <c r="J22" s="105">
        <f t="shared" si="0"/>
        <v>-20800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[12]OTCHET!E22+[12]OTCHET!E28+[12]OTCHET!E33+[12]OTCHET!E39+[12]OTCHET!E47+[12]OTCHET!E52+[12]OTCHET!E58+[12]OTCHET!E61+[12]OTCHET!E64+[12]OTCHET!E65+[12]OTCHET!E72+[12]OTCHET!E73</f>
        <v>0</v>
      </c>
      <c r="F23" s="111">
        <f t="shared" ref="F23:F88" si="1">+G23+H23+I23+J23</f>
        <v>0</v>
      </c>
      <c r="G23" s="112">
        <f>[12]OTCHET!G22+[12]OTCHET!G28+[12]OTCHET!G33+[12]OTCHET!G39+[12]OTCHET!G47+[12]OTCHET!G52+[12]OTCHET!G58+[12]OTCHET!G61+[12]OTCHET!G64+[12]OTCHET!G65+[12]OTCHET!G72+[12]OTCHET!G73</f>
        <v>0</v>
      </c>
      <c r="H23" s="113">
        <f>[12]OTCHET!H22+[12]OTCHET!H28+[12]OTCHET!H33+[12]OTCHET!H39+[12]OTCHET!H47+[12]OTCHET!H52+[12]OTCHET!H58+[12]OTCHET!H61+[12]OTCHET!H64+[12]OTCHET!H65+[12]OTCHET!H72+[12]OTCHET!H73</f>
        <v>0</v>
      </c>
      <c r="I23" s="113">
        <f>[12]OTCHET!I22+[12]OTCHET!I28+[12]OTCHET!I33+[12]OTCHET!I39+[12]OTCHET!I47+[12]OTCHET!I52+[12]OTCHET!I58+[12]OTCHET!I61+[12]OTCHET!I64+[12]OTCHET!I65+[12]OTCHET!I72+[12]OTCHET!I73</f>
        <v>0</v>
      </c>
      <c r="J23" s="114">
        <f>[12]OTCHET!J22+[12]OTCHET!J28+[12]OTCHET!J33+[12]OTCHET!J39+[12]OTCHET!J47+[12]OTCHET!J52+[12]OTCHET!J58+[12]OTCHET!J61+[12]OTCHET!J64+[12]OTCHET!J65+[12]OTCHET!J72+[12]OTCHET!J73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170000</v>
      </c>
      <c r="F25" s="127">
        <f>+F26+F30+F31+F32+F33</f>
        <v>140399</v>
      </c>
      <c r="G25" s="128">
        <f t="shared" ref="G25:M25" si="2">+G26+G30+G31+G32+G33</f>
        <v>161199</v>
      </c>
      <c r="H25" s="129">
        <f>+H26+H30+H31+H32+H33</f>
        <v>0</v>
      </c>
      <c r="I25" s="129">
        <f>+I26+I30+I31+I32+I33</f>
        <v>0</v>
      </c>
      <c r="J25" s="130">
        <f>+J26+J30+J31+J32+J33</f>
        <v>-20800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[12]OTCHET!E74</f>
        <v>0</v>
      </c>
      <c r="F26" s="133">
        <f t="shared" si="1"/>
        <v>0</v>
      </c>
      <c r="G26" s="134">
        <f>[12]OTCHET!G74</f>
        <v>0</v>
      </c>
      <c r="H26" s="135">
        <f>[12]OTCHET!H74</f>
        <v>0</v>
      </c>
      <c r="I26" s="135">
        <f>[12]OTCHET!I74</f>
        <v>0</v>
      </c>
      <c r="J26" s="136">
        <f>[12]OTCHET!J74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[12]OTCHET!E75</f>
        <v>0</v>
      </c>
      <c r="F27" s="140">
        <f t="shared" si="1"/>
        <v>0</v>
      </c>
      <c r="G27" s="141">
        <f>[12]OTCHET!G75</f>
        <v>0</v>
      </c>
      <c r="H27" s="142">
        <f>[12]OTCHET!H75</f>
        <v>0</v>
      </c>
      <c r="I27" s="142">
        <f>[12]OTCHET!I75</f>
        <v>0</v>
      </c>
      <c r="J27" s="143">
        <f>[12]OTCHET!J75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[12]OTCHET!E77</f>
        <v>0</v>
      </c>
      <c r="F28" s="148">
        <f t="shared" si="1"/>
        <v>0</v>
      </c>
      <c r="G28" s="149">
        <f>[12]OTCHET!G77</f>
        <v>0</v>
      </c>
      <c r="H28" s="150">
        <f>[12]OTCHET!H77</f>
        <v>0</v>
      </c>
      <c r="I28" s="150">
        <f>[12]OTCHET!I77</f>
        <v>0</v>
      </c>
      <c r="J28" s="151">
        <f>[12]OTCHET!J77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+[12]OTCHET!E78+[12]OTCHET!E79</f>
        <v>0</v>
      </c>
      <c r="F29" s="156">
        <f t="shared" si="1"/>
        <v>0</v>
      </c>
      <c r="G29" s="157">
        <f>+[12]OTCHET!G78+[12]OTCHET!G79</f>
        <v>0</v>
      </c>
      <c r="H29" s="158">
        <f>+[12]OTCHET!H78+[12]OTCHET!H79</f>
        <v>0</v>
      </c>
      <c r="I29" s="158">
        <f>+[12]OTCHET!I78+[12]OTCHET!I79</f>
        <v>0</v>
      </c>
      <c r="J29" s="159">
        <f>+[12]OTCHET!J78+[12]OTCHET!J79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[12]OTCHET!E90+[12]OTCHET!E93+[12]OTCHET!E94</f>
        <v>140000</v>
      </c>
      <c r="F30" s="162">
        <f t="shared" si="1"/>
        <v>148143</v>
      </c>
      <c r="G30" s="163">
        <f>[12]OTCHET!G90+[12]OTCHET!G93+[12]OTCHET!G94</f>
        <v>148143</v>
      </c>
      <c r="H30" s="164">
        <f>[12]OTCHET!H90+[12]OTCHET!H93+[12]OTCHET!H94</f>
        <v>0</v>
      </c>
      <c r="I30" s="164">
        <f>[12]OTCHET!I90+[12]OTCHET!I93+[12]OTCHET!I94</f>
        <v>0</v>
      </c>
      <c r="J30" s="165">
        <f>[12]OTCHET!J90+[12]OTCHET!J93+[12]OTCHET!J94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[12]OTCHET!E106</f>
        <v>30000</v>
      </c>
      <c r="F31" s="168">
        <f t="shared" si="1"/>
        <v>12733</v>
      </c>
      <c r="G31" s="169">
        <f>[12]OTCHET!G106</f>
        <v>10886</v>
      </c>
      <c r="H31" s="170">
        <f>[12]OTCHET!H106</f>
        <v>0</v>
      </c>
      <c r="I31" s="170">
        <f>[12]OTCHET!I106</f>
        <v>0</v>
      </c>
      <c r="J31" s="171">
        <f>[12]OTCHET!J106</f>
        <v>1847</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[12]OTCHET!E110+[12]OTCHET!E119+[12]OTCHET!E135+[12]OTCHET!E136</f>
        <v>0</v>
      </c>
      <c r="F32" s="168">
        <f t="shared" si="1"/>
        <v>-20477</v>
      </c>
      <c r="G32" s="169">
        <f>[12]OTCHET!G110+[12]OTCHET!G119+[12]OTCHET!G135+[12]OTCHET!G136</f>
        <v>2170</v>
      </c>
      <c r="H32" s="170">
        <f>[12]OTCHET!H110+[12]OTCHET!H119+[12]OTCHET!H135+[12]OTCHET!H136</f>
        <v>0</v>
      </c>
      <c r="I32" s="170">
        <f>[12]OTCHET!I110+[12]OTCHET!I119+[12]OTCHET!I135+[12]OTCHET!I136</f>
        <v>0</v>
      </c>
      <c r="J32" s="171">
        <f>[12]OTCHET!J110+[12]OTCHET!J119+[12]OTCHET!J135+[12]OTCHET!J136</f>
        <v>-22647</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[12]OTCHET!E123</f>
        <v>0</v>
      </c>
      <c r="F33" s="120">
        <f t="shared" si="1"/>
        <v>0</v>
      </c>
      <c r="G33" s="121">
        <f>[12]OTCHET!G123</f>
        <v>0</v>
      </c>
      <c r="H33" s="122">
        <f>[12]OTCHET!H123</f>
        <v>0</v>
      </c>
      <c r="I33" s="122">
        <f>[12]OTCHET!I123</f>
        <v>0</v>
      </c>
      <c r="J33" s="123">
        <f>[12]OTCHET!J123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+[12]OTCHET!E137</f>
        <v>0</v>
      </c>
      <c r="F36" s="191">
        <f t="shared" si="1"/>
        <v>0</v>
      </c>
      <c r="G36" s="192">
        <f>+[12]OTCHET!G137</f>
        <v>0</v>
      </c>
      <c r="H36" s="193">
        <f>+[12]OTCHET!H137</f>
        <v>0</v>
      </c>
      <c r="I36" s="193">
        <f>+[12]OTCHET!I137</f>
        <v>0</v>
      </c>
      <c r="J36" s="194">
        <f>+[12]OTCHET!J137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[12]OTCHET!E140+[12]OTCHET!E149+[12]OTCHET!E158</f>
        <v>0</v>
      </c>
      <c r="F37" s="199">
        <f t="shared" si="1"/>
        <v>0</v>
      </c>
      <c r="G37" s="200">
        <f>[12]OTCHET!G140+[12]OTCHET!G149+[12]OTCHET!G158</f>
        <v>0</v>
      </c>
      <c r="H37" s="201">
        <f>[12]OTCHET!H140+[12]OTCHET!H149+[12]OTCHET!H158</f>
        <v>0</v>
      </c>
      <c r="I37" s="201">
        <f>[12]OTCHET!I140+[12]OTCHET!I149+[12]OTCHET!I158</f>
        <v>0</v>
      </c>
      <c r="J37" s="202">
        <f>[12]OTCHET!J140+[12]OTCHET!J149+[12]OTCHET!J158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1288149</v>
      </c>
      <c r="F38" s="209">
        <f t="shared" si="3"/>
        <v>1283819</v>
      </c>
      <c r="G38" s="210">
        <f t="shared" si="3"/>
        <v>950068</v>
      </c>
      <c r="H38" s="211">
        <f t="shared" si="3"/>
        <v>0</v>
      </c>
      <c r="I38" s="211">
        <f t="shared" si="3"/>
        <v>4986</v>
      </c>
      <c r="J38" s="212">
        <f t="shared" si="3"/>
        <v>328765</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1098131</v>
      </c>
      <c r="F39" s="221">
        <f t="shared" si="4"/>
        <v>1094231</v>
      </c>
      <c r="G39" s="222">
        <f t="shared" si="4"/>
        <v>765466</v>
      </c>
      <c r="H39" s="223">
        <f t="shared" si="4"/>
        <v>0</v>
      </c>
      <c r="I39" s="223">
        <f t="shared" si="4"/>
        <v>0</v>
      </c>
      <c r="J39" s="224">
        <f t="shared" si="4"/>
        <v>328765</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[12]OTCHET!E187</f>
        <v>784998</v>
      </c>
      <c r="F40" s="229">
        <f t="shared" si="1"/>
        <v>783262</v>
      </c>
      <c r="G40" s="230">
        <f>[12]OTCHET!G187</f>
        <v>705976</v>
      </c>
      <c r="H40" s="231">
        <f>[12]OTCHET!H187</f>
        <v>0</v>
      </c>
      <c r="I40" s="231">
        <f>[12]OTCHET!I187</f>
        <v>0</v>
      </c>
      <c r="J40" s="232">
        <f>[12]OTCHET!J187</f>
        <v>77286</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[12]OTCHET!E190</f>
        <v>63810</v>
      </c>
      <c r="F41" s="237">
        <f t="shared" si="1"/>
        <v>63719</v>
      </c>
      <c r="G41" s="238">
        <f>[12]OTCHET!G190</f>
        <v>59490</v>
      </c>
      <c r="H41" s="239">
        <f>[12]OTCHET!H190</f>
        <v>0</v>
      </c>
      <c r="I41" s="239">
        <f>[12]OTCHET!I190</f>
        <v>0</v>
      </c>
      <c r="J41" s="240">
        <f>[12]OTCHET!J190</f>
        <v>4229</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+[12]OTCHET!E196+[12]OTCHET!E204</f>
        <v>249323</v>
      </c>
      <c r="F42" s="244">
        <f t="shared" si="1"/>
        <v>247250</v>
      </c>
      <c r="G42" s="245">
        <f>+[12]OTCHET!G196+[12]OTCHET!G204</f>
        <v>0</v>
      </c>
      <c r="H42" s="246">
        <f>+[12]OTCHET!H196+[12]OTCHET!H204</f>
        <v>0</v>
      </c>
      <c r="I42" s="246">
        <f>+[12]OTCHET!I196+[12]OTCHET!I204</f>
        <v>0</v>
      </c>
      <c r="J42" s="247">
        <f>+[12]OTCHET!J196+[12]OTCHET!J204</f>
        <v>247250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+[12]OTCHET!E205+[12]OTCHET!E223+[12]OTCHET!E271</f>
        <v>185418</v>
      </c>
      <c r="F43" s="250">
        <f t="shared" si="1"/>
        <v>185320</v>
      </c>
      <c r="G43" s="251">
        <f>+[12]OTCHET!G205+[12]OTCHET!G223+[12]OTCHET!G271</f>
        <v>180334</v>
      </c>
      <c r="H43" s="252">
        <f>+[12]OTCHET!H205+[12]OTCHET!H223+[12]OTCHET!H271</f>
        <v>0</v>
      </c>
      <c r="I43" s="252">
        <f>+[12]OTCHET!I205+[12]OTCHET!I223+[12]OTCHET!I271</f>
        <v>4986</v>
      </c>
      <c r="J43" s="253">
        <f>+[12]OTCHET!J205+[12]OTCHET!J223+[12]OTCHET!J271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+[12]OTCHET!E227+[12]OTCHET!E233+[12]OTCHET!E236+[12]OTCHET!E237+[12]OTCHET!E238+[12]OTCHET!E239+[12]OTCHET!E240</f>
        <v>0</v>
      </c>
      <c r="F44" s="120">
        <f t="shared" si="1"/>
        <v>0</v>
      </c>
      <c r="G44" s="121">
        <f>+[12]OTCHET!G227+[12]OTCHET!G233+[12]OTCHET!G236+[12]OTCHET!G237+[12]OTCHET!G238+[12]OTCHET!G239+[12]OTCHET!G240</f>
        <v>0</v>
      </c>
      <c r="H44" s="122">
        <f>+[12]OTCHET!H227+[12]OTCHET!H233+[12]OTCHET!H236+[12]OTCHET!H237+[12]OTCHET!H238+[12]OTCHET!H239+[12]OTCHET!H240</f>
        <v>0</v>
      </c>
      <c r="I44" s="122">
        <f>+[12]OTCHET!I227+[12]OTCHET!I233+[12]OTCHET!I236+[12]OTCHET!I237+[12]OTCHET!I238+[12]OTCHET!I239+[12]OTCHET!I240</f>
        <v>0</v>
      </c>
      <c r="J44" s="123">
        <f>+[12]OTCHET!J227+[12]OTCHET!J233+[12]OTCHET!J236+[12]OTCHET!J237+[12]OTCHET!J238+[12]OTCHET!J239+[12]OTCHET!J240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+[12]OTCHET!E236+[12]OTCHET!E237+[12]OTCHET!E238+[12]OTCHET!E239+[12]OTCHET!E243+[12]OTCHET!E244+[12]OTCHET!E248</f>
        <v>0</v>
      </c>
      <c r="F45" s="256">
        <f t="shared" si="1"/>
        <v>0</v>
      </c>
      <c r="G45" s="257">
        <f>+[12]OTCHET!G236+[12]OTCHET!G237+[12]OTCHET!G238+[12]OTCHET!G239+[12]OTCHET!G243+[12]OTCHET!G244+[12]OTCHET!G248</f>
        <v>0</v>
      </c>
      <c r="H45" s="258">
        <f>+[12]OTCHET!H236+[12]OTCHET!H237+[12]OTCHET!H238+[12]OTCHET!H239+[12]OTCHET!H243+[12]OTCHET!H244+[12]OTCHET!H248</f>
        <v>0</v>
      </c>
      <c r="I45" s="259">
        <f>+[12]OTCHET!I236+[12]OTCHET!I237+[12]OTCHET!I238+[12]OTCHET!I239+[12]OTCHET!I243+[12]OTCHET!I244+[12]OTCHET!I248</f>
        <v>0</v>
      </c>
      <c r="J45" s="260">
        <f>+[12]OTCHET!J236+[12]OTCHET!J237+[12]OTCHET!J238+[12]OTCHET!J239+[12]OTCHET!J243+[12]OTCHET!J244+[12]OTCHET!J248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+[12]OTCHET!E255+[12]OTCHET!E256+[12]OTCHET!E257+[12]OTCHET!E258</f>
        <v>0</v>
      </c>
      <c r="F46" s="250">
        <f t="shared" si="1"/>
        <v>0</v>
      </c>
      <c r="G46" s="251">
        <f>+[12]OTCHET!G255+[12]OTCHET!G256+[12]OTCHET!G257+[12]OTCHET!G258</f>
        <v>0</v>
      </c>
      <c r="H46" s="252">
        <f>+[12]OTCHET!H255+[12]OTCHET!H256+[12]OTCHET!H257+[12]OTCHET!H258</f>
        <v>0</v>
      </c>
      <c r="I46" s="252">
        <f>+[12]OTCHET!I255+[12]OTCHET!I256+[12]OTCHET!I257+[12]OTCHET!I258</f>
        <v>0</v>
      </c>
      <c r="J46" s="253">
        <f>+[12]OTCHET!J255+[12]OTCHET!J256+[12]OTCHET!J257+[12]OTCHET!J258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+[12]OTCHET!E256</f>
        <v>0</v>
      </c>
      <c r="F47" s="256">
        <f t="shared" si="1"/>
        <v>0</v>
      </c>
      <c r="G47" s="257">
        <f>+[12]OTCHET!G256</f>
        <v>0</v>
      </c>
      <c r="H47" s="258">
        <f>+[12]OTCHET!H256</f>
        <v>0</v>
      </c>
      <c r="I47" s="259">
        <f>+[12]OTCHET!I256</f>
        <v>0</v>
      </c>
      <c r="J47" s="260">
        <f>+[12]OTCHET!J256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+[12]OTCHET!E265+[12]OTCHET!E269+[12]OTCHET!E270</f>
        <v>0</v>
      </c>
      <c r="F48" s="168">
        <f t="shared" si="1"/>
        <v>0</v>
      </c>
      <c r="G48" s="163">
        <f>+[12]OTCHET!G265+[12]OTCHET!G269+[12]OTCHET!G270</f>
        <v>0</v>
      </c>
      <c r="H48" s="164">
        <f>+[12]OTCHET!H265+[12]OTCHET!H269+[12]OTCHET!H270</f>
        <v>0</v>
      </c>
      <c r="I48" s="164">
        <f>+[12]OTCHET!I265+[12]OTCHET!I269+[12]OTCHET!I270</f>
        <v>0</v>
      </c>
      <c r="J48" s="165">
        <f>+[12]OTCHET!J265+[12]OTCHET!J269+[12]OTCHET!J270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[12]OTCHET!E275+[12]OTCHET!E276+[12]OTCHET!E284+[12]OTCHET!E287</f>
        <v>4600</v>
      </c>
      <c r="F49" s="168">
        <f t="shared" si="1"/>
        <v>4268</v>
      </c>
      <c r="G49" s="169">
        <f>[12]OTCHET!G275+[12]OTCHET!G276+[12]OTCHET!G284+[12]OTCHET!G287</f>
        <v>4268</v>
      </c>
      <c r="H49" s="170">
        <f>[12]OTCHET!H275+[12]OTCHET!H276+[12]OTCHET!H284+[12]OTCHET!H287</f>
        <v>0</v>
      </c>
      <c r="I49" s="170">
        <f>[12]OTCHET!I275+[12]OTCHET!I276+[12]OTCHET!I284+[12]OTCHET!I287</f>
        <v>0</v>
      </c>
      <c r="J49" s="171">
        <f>[12]OTCHET!J275+[12]OTCHET!J276+[12]OTCHET!J284+[12]OTCHET!J287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+[12]OTCHET!E288</f>
        <v>0</v>
      </c>
      <c r="F50" s="168">
        <f t="shared" si="1"/>
        <v>0</v>
      </c>
      <c r="G50" s="169">
        <f>+[12]OTCHET!G288</f>
        <v>0</v>
      </c>
      <c r="H50" s="170">
        <f>+[12]OTCHET!H288</f>
        <v>0</v>
      </c>
      <c r="I50" s="170">
        <f>+[12]OTCHET!I288</f>
        <v>0</v>
      </c>
      <c r="J50" s="171">
        <f>+[12]OTCHET!J288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+[12]OTCHET!E272</f>
        <v>0</v>
      </c>
      <c r="F51" s="120">
        <f>+G51+H51+I51+J51</f>
        <v>0</v>
      </c>
      <c r="G51" s="121">
        <f>+[12]OTCHET!G272</f>
        <v>0</v>
      </c>
      <c r="H51" s="122">
        <f>+[12]OTCHET!H272</f>
        <v>0</v>
      </c>
      <c r="I51" s="122">
        <f>+[12]OTCHET!I272</f>
        <v>0</v>
      </c>
      <c r="J51" s="123">
        <f>+[12]OTCHET!J272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+[12]OTCHET!E293</f>
        <v>0</v>
      </c>
      <c r="F52" s="120">
        <f t="shared" si="1"/>
        <v>0</v>
      </c>
      <c r="G52" s="121">
        <f>+[12]OTCHET!G293</f>
        <v>0</v>
      </c>
      <c r="H52" s="122">
        <f>+[12]OTCHET!H293</f>
        <v>0</v>
      </c>
      <c r="I52" s="122">
        <f>+[12]OTCHET!I293</f>
        <v>0</v>
      </c>
      <c r="J52" s="123">
        <f>+[12]OTCHET!J293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[12]OTCHET!E294</f>
        <v>0</v>
      </c>
      <c r="F53" s="267">
        <f t="shared" si="1"/>
        <v>0</v>
      </c>
      <c r="G53" s="268">
        <f>[12]OTCHET!G294</f>
        <v>0</v>
      </c>
      <c r="H53" s="269">
        <f>[12]OTCHET!H294</f>
        <v>0</v>
      </c>
      <c r="I53" s="269">
        <f>[12]OTCHET!I294</f>
        <v>0</v>
      </c>
      <c r="J53" s="270">
        <f>[12]OTCHET!J294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[12]OTCHET!E296</f>
        <v>0</v>
      </c>
      <c r="F54" s="275">
        <f t="shared" si="1"/>
        <v>0</v>
      </c>
      <c r="G54" s="276">
        <f>[12]OTCHET!G296</f>
        <v>0</v>
      </c>
      <c r="H54" s="277">
        <f>[12]OTCHET!H296</f>
        <v>0</v>
      </c>
      <c r="I54" s="277">
        <f>[12]OTCHET!I296</f>
        <v>0</v>
      </c>
      <c r="J54" s="278">
        <f>[12]OTCHET!J296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+[12]OTCHET!E297</f>
        <v>0</v>
      </c>
      <c r="F55" s="284">
        <f t="shared" si="1"/>
        <v>0</v>
      </c>
      <c r="G55" s="285">
        <f>+[12]OTCHET!G297</f>
        <v>0</v>
      </c>
      <c r="H55" s="286">
        <f>+[12]OTCHET!H297</f>
        <v>0</v>
      </c>
      <c r="I55" s="286">
        <f>+[12]OTCHET!I297</f>
        <v>0</v>
      </c>
      <c r="J55" s="287">
        <f>+[12]OTCHET!J297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1118149</v>
      </c>
      <c r="F56" s="293">
        <f t="shared" si="5"/>
        <v>1160697</v>
      </c>
      <c r="G56" s="294">
        <f t="shared" si="5"/>
        <v>831932</v>
      </c>
      <c r="H56" s="295">
        <f t="shared" si="5"/>
        <v>0</v>
      </c>
      <c r="I56" s="296">
        <f t="shared" si="5"/>
        <v>0</v>
      </c>
      <c r="J56" s="297">
        <f t="shared" si="5"/>
        <v>328765</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+[12]OTCHET!E361+[12]OTCHET!E375+[12]OTCHET!E388</f>
        <v>0</v>
      </c>
      <c r="F57" s="299">
        <f t="shared" si="1"/>
        <v>0</v>
      </c>
      <c r="G57" s="300">
        <f>+[12]OTCHET!G361+[12]OTCHET!G375+[12]OTCHET!G388</f>
        <v>0</v>
      </c>
      <c r="H57" s="301">
        <f>+[12]OTCHET!H361+[12]OTCHET!H375+[12]OTCHET!H388</f>
        <v>0</v>
      </c>
      <c r="I57" s="301">
        <f>+[12]OTCHET!I361+[12]OTCHET!I375+[12]OTCHET!I388</f>
        <v>0</v>
      </c>
      <c r="J57" s="302">
        <f>+[12]OTCHET!J361+[12]OTCHET!J375+[12]OTCHET!J388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+[12]OTCHET!E383+[12]OTCHET!E391+[12]OTCHET!E396+[12]OTCHET!E399+[12]OTCHET!E402+[12]OTCHET!E405+[12]OTCHET!E406+[12]OTCHET!E409+[12]OTCHET!E422+[12]OTCHET!E423+[12]OTCHET!E424+[12]OTCHET!E425+[12]OTCHET!E426</f>
        <v>1118149</v>
      </c>
      <c r="F58" s="304">
        <f t="shared" si="1"/>
        <v>831932</v>
      </c>
      <c r="G58" s="305">
        <f>+[12]OTCHET!G383+[12]OTCHET!G391+[12]OTCHET!G396+[12]OTCHET!G399+[12]OTCHET!G402+[12]OTCHET!G405+[12]OTCHET!G406+[12]OTCHET!G409+[12]OTCHET!G422+[12]OTCHET!G423+[12]OTCHET!G424+[12]OTCHET!G425+[12]OTCHET!G426</f>
        <v>831932</v>
      </c>
      <c r="H58" s="306">
        <f>+[12]OTCHET!H383+[12]OTCHET!H391+[12]OTCHET!H396+[12]OTCHET!H399+[12]OTCHET!H402+[12]OTCHET!H405+[12]OTCHET!H406+[12]OTCHET!H409+[12]OTCHET!H422+[12]OTCHET!H423+[12]OTCHET!H424+[12]OTCHET!H425+[12]OTCHET!H426</f>
        <v>0</v>
      </c>
      <c r="I58" s="306">
        <f>+[12]OTCHET!I383+[12]OTCHET!I391+[12]OTCHET!I396+[12]OTCHET!I399+[12]OTCHET!I402+[12]OTCHET!I405+[12]OTCHET!I406+[12]OTCHET!I409+[12]OTCHET!I422+[12]OTCHET!I423+[12]OTCHET!I424+[12]OTCHET!I425+[12]OTCHET!I426</f>
        <v>0</v>
      </c>
      <c r="J58" s="307">
        <f>+[12]OTCHET!J383+[12]OTCHET!J391+[12]OTCHET!J396+[12]OTCHET!J399+[12]OTCHET!J402+[12]OTCHET!J405+[12]OTCHET!J406+[12]OTCHET!J409+[12]OTCHET!J422+[12]OTCHET!J423+[12]OTCHET!J424+[12]OTCHET!J425+[12]OTCHET!J426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+[12]OTCHET!E422+[12]OTCHET!E423+[12]OTCHET!E424+[12]OTCHET!E425+[12]OTCHET!E426</f>
        <v>0</v>
      </c>
      <c r="F59" s="309">
        <f t="shared" si="1"/>
        <v>0</v>
      </c>
      <c r="G59" s="310">
        <f>+[12]OTCHET!G422+[12]OTCHET!G423+[12]OTCHET!G424+[12]OTCHET!G425+[12]OTCHET!G426</f>
        <v>0</v>
      </c>
      <c r="H59" s="311">
        <f>+[12]OTCHET!H422+[12]OTCHET!H423+[12]OTCHET!H424+[12]OTCHET!H425+[12]OTCHET!H426</f>
        <v>0</v>
      </c>
      <c r="I59" s="311">
        <f>+[12]OTCHET!I422+[12]OTCHET!I423+[12]OTCHET!I424+[12]OTCHET!I425+[12]OTCHET!I426</f>
        <v>0</v>
      </c>
      <c r="J59" s="312">
        <f>+[12]OTCHET!J422+[12]OTCHET!J423+[12]OTCHET!J424+[12]OTCHET!J425+[12]OTCHET!J426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[12]OTCHET!E405</f>
        <v>0</v>
      </c>
      <c r="F60" s="316">
        <f t="shared" si="1"/>
        <v>0</v>
      </c>
      <c r="G60" s="317">
        <f>[12]OTCHET!G405</f>
        <v>0</v>
      </c>
      <c r="H60" s="318">
        <f>[12]OTCHET!H405</f>
        <v>0</v>
      </c>
      <c r="I60" s="318">
        <f>[12]OTCHET!I405</f>
        <v>0</v>
      </c>
      <c r="J60" s="319">
        <f>[12]OTCHET!J405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[12]OTCHET!E412</f>
        <v>0</v>
      </c>
      <c r="F62" s="199">
        <f t="shared" si="1"/>
        <v>328765</v>
      </c>
      <c r="G62" s="200">
        <f>[12]OTCHET!G412</f>
        <v>0</v>
      </c>
      <c r="H62" s="201">
        <f>[12]OTCHET!H412</f>
        <v>0</v>
      </c>
      <c r="I62" s="201">
        <f>[12]OTCHET!I412</f>
        <v>0</v>
      </c>
      <c r="J62" s="202">
        <f>[12]OTCHET!J412</f>
        <v>328765</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+[12]OTCHET!E249</f>
        <v>0</v>
      </c>
      <c r="F63" s="328">
        <f t="shared" si="1"/>
        <v>0</v>
      </c>
      <c r="G63" s="329">
        <f>+[12]OTCHET!G249</f>
        <v>0</v>
      </c>
      <c r="H63" s="330">
        <f>+[12]OTCHET!H249</f>
        <v>0</v>
      </c>
      <c r="I63" s="330">
        <f>+[12]OTCHET!I249</f>
        <v>0</v>
      </c>
      <c r="J63" s="331">
        <f>+[12]OTCHET!J249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17277</v>
      </c>
      <c r="G64" s="337">
        <f t="shared" si="6"/>
        <v>43063</v>
      </c>
      <c r="H64" s="338">
        <f t="shared" si="6"/>
        <v>0</v>
      </c>
      <c r="I64" s="338">
        <f t="shared" si="6"/>
        <v>-4986</v>
      </c>
      <c r="J64" s="339">
        <f t="shared" si="6"/>
        <v>-20800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-17277</v>
      </c>
      <c r="G66" s="349">
        <f t="shared" ref="G66:L66" si="8">SUM(+G68+G76+G77+G84+G85+G86+G89+G90+G91+G92+G93+G94+G95)</f>
        <v>-43063</v>
      </c>
      <c r="H66" s="350">
        <f>SUM(+H68+H76+H77+H84+H85+H86+H89+H90+H91+H92+H93+H94+H95)</f>
        <v>0</v>
      </c>
      <c r="I66" s="350">
        <f>SUM(+I68+I76+I77+I84+I85+I86+I89+I90+I91+I92+I93+I94+I95)</f>
        <v>4986</v>
      </c>
      <c r="J66" s="351">
        <f>SUM(+J68+J76+J77+J84+J85+J86+J89+J90+J91+J92+J93+J94+J95)</f>
        <v>20800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+[12]OTCHET!E482+[12]OTCHET!E483+[12]OTCHET!E486+[12]OTCHET!E487+[12]OTCHET!E490+[12]OTCHET!E491+[12]OTCHET!E495</f>
        <v>0</v>
      </c>
      <c r="F69" s="367">
        <f t="shared" si="1"/>
        <v>0</v>
      </c>
      <c r="G69" s="368">
        <f>+[12]OTCHET!G482+[12]OTCHET!G483+[12]OTCHET!G486+[12]OTCHET!G487+[12]OTCHET!G490+[12]OTCHET!G491+[12]OTCHET!G495</f>
        <v>0</v>
      </c>
      <c r="H69" s="369">
        <f>+[12]OTCHET!H482+[12]OTCHET!H483+[12]OTCHET!H486+[12]OTCHET!H487+[12]OTCHET!H490+[12]OTCHET!H491+[12]OTCHET!H495</f>
        <v>0</v>
      </c>
      <c r="I69" s="369">
        <f>+[12]OTCHET!I482+[12]OTCHET!I483+[12]OTCHET!I486+[12]OTCHET!I487+[12]OTCHET!I490+[12]OTCHET!I491+[12]OTCHET!I495</f>
        <v>0</v>
      </c>
      <c r="J69" s="370">
        <f>+[12]OTCHET!J482+[12]OTCHET!J483+[12]OTCHET!J486+[12]OTCHET!J487+[12]OTCHET!J490+[12]OTCHET!J491+[12]OTCHET!J495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+[12]OTCHET!E484+[12]OTCHET!E485+[12]OTCHET!E488+[12]OTCHET!E489+[12]OTCHET!E492+[12]OTCHET!E493+[12]OTCHET!E494+[12]OTCHET!E496</f>
        <v>0</v>
      </c>
      <c r="F70" s="375">
        <f t="shared" si="1"/>
        <v>0</v>
      </c>
      <c r="G70" s="376">
        <f>+[12]OTCHET!G484+[12]OTCHET!G485+[12]OTCHET!G488+[12]OTCHET!G489+[12]OTCHET!G492+[12]OTCHET!G493+[12]OTCHET!G494+[12]OTCHET!G496</f>
        <v>0</v>
      </c>
      <c r="H70" s="377">
        <f>+[12]OTCHET!H484+[12]OTCHET!H485+[12]OTCHET!H488+[12]OTCHET!H489+[12]OTCHET!H492+[12]OTCHET!H493+[12]OTCHET!H494+[12]OTCHET!H496</f>
        <v>0</v>
      </c>
      <c r="I70" s="377">
        <f>+[12]OTCHET!I484+[12]OTCHET!I485+[12]OTCHET!I488+[12]OTCHET!I489+[12]OTCHET!I492+[12]OTCHET!I493+[12]OTCHET!I494+[12]OTCHET!I496</f>
        <v>0</v>
      </c>
      <c r="J70" s="378">
        <f>+[12]OTCHET!J484+[12]OTCHET!J485+[12]OTCHET!J488+[12]OTCHET!J489+[12]OTCHET!J492+[12]OTCHET!J493+[12]OTCHET!J494+[12]OTCHET!J496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+[12]OTCHET!E497</f>
        <v>0</v>
      </c>
      <c r="F71" s="375">
        <f t="shared" si="1"/>
        <v>0</v>
      </c>
      <c r="G71" s="376">
        <f>+[12]OTCHET!G497</f>
        <v>0</v>
      </c>
      <c r="H71" s="377">
        <f>+[12]OTCHET!H497</f>
        <v>0</v>
      </c>
      <c r="I71" s="377">
        <f>+[12]OTCHET!I497</f>
        <v>0</v>
      </c>
      <c r="J71" s="378">
        <f>+[12]OTCHET!J497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+[12]OTCHET!E502</f>
        <v>0</v>
      </c>
      <c r="F72" s="375">
        <f t="shared" si="1"/>
        <v>0</v>
      </c>
      <c r="G72" s="376">
        <f>+[12]OTCHET!G502</f>
        <v>0</v>
      </c>
      <c r="H72" s="377">
        <f>+[12]OTCHET!H502</f>
        <v>0</v>
      </c>
      <c r="I72" s="377">
        <f>+[12]OTCHET!I502</f>
        <v>0</v>
      </c>
      <c r="J72" s="378">
        <f>+[12]OTCHET!J502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+[12]OTCHET!E542</f>
        <v>0</v>
      </c>
      <c r="F73" s="375">
        <f t="shared" si="1"/>
        <v>0</v>
      </c>
      <c r="G73" s="376">
        <f>+[12]OTCHET!G542</f>
        <v>0</v>
      </c>
      <c r="H73" s="377">
        <f>+[12]OTCHET!H542</f>
        <v>0</v>
      </c>
      <c r="I73" s="377">
        <f>+[12]OTCHET!I542</f>
        <v>0</v>
      </c>
      <c r="J73" s="378">
        <f>+[12]OTCHET!J542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+[12]OTCHET!E581+[12]OTCHET!E582</f>
        <v>0</v>
      </c>
      <c r="F74" s="375">
        <f t="shared" si="1"/>
        <v>0</v>
      </c>
      <c r="G74" s="376">
        <f>+[12]OTCHET!G581+[12]OTCHET!G582</f>
        <v>0</v>
      </c>
      <c r="H74" s="377">
        <f>+[12]OTCHET!H581+[12]OTCHET!H582</f>
        <v>0</v>
      </c>
      <c r="I74" s="377">
        <f>+[12]OTCHET!I581+[12]OTCHET!I582</f>
        <v>0</v>
      </c>
      <c r="J74" s="378">
        <f>+[12]OTCHET!J581+[12]OTCHET!J582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+[12]OTCHET!E583+[12]OTCHET!E584+[12]OTCHET!E585</f>
        <v>0</v>
      </c>
      <c r="F75" s="382">
        <f t="shared" si="1"/>
        <v>0</v>
      </c>
      <c r="G75" s="383">
        <f>+[12]OTCHET!G583+[12]OTCHET!G584+[12]OTCHET!G585</f>
        <v>0</v>
      </c>
      <c r="H75" s="384">
        <f>+[12]OTCHET!H583+[12]OTCHET!H584+[12]OTCHET!H585</f>
        <v>0</v>
      </c>
      <c r="I75" s="384">
        <f>+[12]OTCHET!I583+[12]OTCHET!I584+[12]OTCHET!I585</f>
        <v>0</v>
      </c>
      <c r="J75" s="385">
        <f>+[12]OTCHET!J583+[12]OTCHET!J584+[12]OTCHET!J585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[12]OTCHET!E461</f>
        <v>0</v>
      </c>
      <c r="F76" s="299">
        <f t="shared" si="1"/>
        <v>0</v>
      </c>
      <c r="G76" s="300">
        <f>[12]OTCHET!G461</f>
        <v>0</v>
      </c>
      <c r="H76" s="301">
        <f>[12]OTCHET!H461</f>
        <v>0</v>
      </c>
      <c r="I76" s="301">
        <f>[12]OTCHET!I461</f>
        <v>0</v>
      </c>
      <c r="J76" s="302">
        <f>[12]OTCHET!J461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+[12]OTCHET!E466+[12]OTCHET!E469</f>
        <v>0</v>
      </c>
      <c r="F78" s="367">
        <f t="shared" si="1"/>
        <v>0</v>
      </c>
      <c r="G78" s="368">
        <f>+[12]OTCHET!G466+[12]OTCHET!G469</f>
        <v>0</v>
      </c>
      <c r="H78" s="369">
        <f>+[12]OTCHET!H466+[12]OTCHET!H469</f>
        <v>0</v>
      </c>
      <c r="I78" s="369">
        <f>+[12]OTCHET!I466+[12]OTCHET!I469</f>
        <v>0</v>
      </c>
      <c r="J78" s="370">
        <f>+[12]OTCHET!J466+[12]OTCHET!J469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+[12]OTCHET!E467+[12]OTCHET!E470</f>
        <v>0</v>
      </c>
      <c r="F79" s="375">
        <f t="shared" si="1"/>
        <v>0</v>
      </c>
      <c r="G79" s="376">
        <f>+[12]OTCHET!G467+[12]OTCHET!G470</f>
        <v>0</v>
      </c>
      <c r="H79" s="377">
        <f>+[12]OTCHET!H467+[12]OTCHET!H470</f>
        <v>0</v>
      </c>
      <c r="I79" s="377">
        <f>+[12]OTCHET!I467+[12]OTCHET!I470</f>
        <v>0</v>
      </c>
      <c r="J79" s="378">
        <f>+[12]OTCHET!J467+[12]OTCHET!J470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[12]OTCHET!E471</f>
        <v>0</v>
      </c>
      <c r="F80" s="375">
        <f t="shared" si="1"/>
        <v>0</v>
      </c>
      <c r="G80" s="376">
        <f>[12]OTCHET!G471</f>
        <v>0</v>
      </c>
      <c r="H80" s="377">
        <f>[12]OTCHET!H471</f>
        <v>0</v>
      </c>
      <c r="I80" s="377">
        <f>[12]OTCHET!I471</f>
        <v>0</v>
      </c>
      <c r="J80" s="378">
        <f>[12]OTCHET!J471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+[12]OTCHET!E479</f>
        <v>0</v>
      </c>
      <c r="F82" s="375">
        <f t="shared" si="1"/>
        <v>0</v>
      </c>
      <c r="G82" s="376">
        <f>+[12]OTCHET!G479</f>
        <v>0</v>
      </c>
      <c r="H82" s="377">
        <f>+[12]OTCHET!H479</f>
        <v>0</v>
      </c>
      <c r="I82" s="377">
        <f>+[12]OTCHET!I479</f>
        <v>0</v>
      </c>
      <c r="J82" s="378">
        <f>+[12]OTCHET!J479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+[12]OTCHET!E480</f>
        <v>0</v>
      </c>
      <c r="F83" s="382">
        <f t="shared" si="1"/>
        <v>0</v>
      </c>
      <c r="G83" s="383">
        <f>+[12]OTCHET!G480</f>
        <v>0</v>
      </c>
      <c r="H83" s="384">
        <f>+[12]OTCHET!H480</f>
        <v>0</v>
      </c>
      <c r="I83" s="384">
        <f>+[12]OTCHET!I480</f>
        <v>0</v>
      </c>
      <c r="J83" s="385">
        <f>+[12]OTCHET!J480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[12]OTCHET!E535</f>
        <v>0</v>
      </c>
      <c r="F84" s="299">
        <f t="shared" si="1"/>
        <v>0</v>
      </c>
      <c r="G84" s="300">
        <f>[12]OTCHET!G535</f>
        <v>0</v>
      </c>
      <c r="H84" s="301">
        <f>[12]OTCHET!H535</f>
        <v>0</v>
      </c>
      <c r="I84" s="301">
        <f>[12]OTCHET!I535</f>
        <v>0</v>
      </c>
      <c r="J84" s="302">
        <f>[12]OTCHET!J535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[12]OTCHET!E536</f>
        <v>0</v>
      </c>
      <c r="F85" s="304">
        <f t="shared" si="1"/>
        <v>0</v>
      </c>
      <c r="G85" s="305">
        <f>[12]OTCHET!G536</f>
        <v>0</v>
      </c>
      <c r="H85" s="306">
        <f>[12]OTCHET!H536</f>
        <v>0</v>
      </c>
      <c r="I85" s="306">
        <f>[12]OTCHET!I536</f>
        <v>0</v>
      </c>
      <c r="J85" s="307">
        <f>[12]OTCHET!J536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-17277</v>
      </c>
      <c r="G86" s="310">
        <f t="shared" ref="G86:M86" si="11">+G87+G88</f>
        <v>-38077</v>
      </c>
      <c r="H86" s="311">
        <f>+H87+H88</f>
        <v>0</v>
      </c>
      <c r="I86" s="311">
        <f>+I87+I88</f>
        <v>0</v>
      </c>
      <c r="J86" s="312">
        <f>+J87+J88</f>
        <v>20800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+[12]OTCHET!E503+[12]OTCHET!E512+[12]OTCHET!E516+[12]OTCHET!E543</f>
        <v>0</v>
      </c>
      <c r="F87" s="367">
        <f t="shared" si="1"/>
        <v>0</v>
      </c>
      <c r="G87" s="368">
        <f>+[12]OTCHET!G503+[12]OTCHET!G512+[12]OTCHET!G516+[12]OTCHET!G543</f>
        <v>0</v>
      </c>
      <c r="H87" s="369">
        <f>+[12]OTCHET!H503+[12]OTCHET!H512+[12]OTCHET!H516+[12]OTCHET!H543</f>
        <v>0</v>
      </c>
      <c r="I87" s="369">
        <f>+[12]OTCHET!I503+[12]OTCHET!I512+[12]OTCHET!I516+[12]OTCHET!I543</f>
        <v>0</v>
      </c>
      <c r="J87" s="370">
        <f>+[12]OTCHET!J503+[12]OTCHET!J512+[12]OTCHET!J516+[12]OTCHET!J543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+[12]OTCHET!E521+[12]OTCHET!E524+[12]OTCHET!E544</f>
        <v>0</v>
      </c>
      <c r="F88" s="382">
        <f t="shared" si="1"/>
        <v>-17277</v>
      </c>
      <c r="G88" s="383">
        <f>+[12]OTCHET!G521+[12]OTCHET!G524+[12]OTCHET!G544</f>
        <v>-38077</v>
      </c>
      <c r="H88" s="384">
        <f>+[12]OTCHET!H521+[12]OTCHET!H524+[12]OTCHET!H544</f>
        <v>0</v>
      </c>
      <c r="I88" s="384">
        <f>+[12]OTCHET!I521+[12]OTCHET!I524+[12]OTCHET!I544</f>
        <v>0</v>
      </c>
      <c r="J88" s="385">
        <f>+[12]OTCHET!J521+[12]OTCHET!J524+[12]OTCHET!J544</f>
        <v>20800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[12]OTCHET!E531</f>
        <v>0</v>
      </c>
      <c r="F89" s="299">
        <f t="shared" ref="F89:F96" si="12">+G89+H89+I89+J89</f>
        <v>0</v>
      </c>
      <c r="G89" s="300">
        <f>[12]OTCHET!G531</f>
        <v>0</v>
      </c>
      <c r="H89" s="301">
        <f>[12]OTCHET!H531</f>
        <v>0</v>
      </c>
      <c r="I89" s="301">
        <f>[12]OTCHET!I531</f>
        <v>0</v>
      </c>
      <c r="J89" s="302">
        <f>[12]OTCHET!J531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+[12]OTCHET!E567+[12]OTCHET!E568+[12]OTCHET!E569+[12]OTCHET!E570+[12]OTCHET!E571+[12]OTCHET!E572</f>
        <v>0</v>
      </c>
      <c r="F90" s="304">
        <f t="shared" si="12"/>
        <v>0</v>
      </c>
      <c r="G90" s="305">
        <f>+[12]OTCHET!G567+[12]OTCHET!G568+[12]OTCHET!G569+[12]OTCHET!G570+[12]OTCHET!G571+[12]OTCHET!G572</f>
        <v>0</v>
      </c>
      <c r="H90" s="306">
        <f>+[12]OTCHET!H567+[12]OTCHET!H568+[12]OTCHET!H569+[12]OTCHET!H570+[12]OTCHET!H571+[12]OTCHET!H572</f>
        <v>0</v>
      </c>
      <c r="I90" s="306">
        <f>+[12]OTCHET!I567+[12]OTCHET!I568+[12]OTCHET!I569+[12]OTCHET!I570+[12]OTCHET!I571+[12]OTCHET!I572</f>
        <v>0</v>
      </c>
      <c r="J90" s="307">
        <f>+[12]OTCHET!J567+[12]OTCHET!J568+[12]OTCHET!J569+[12]OTCHET!J570+[12]OTCHET!J571+[12]OTCHET!J572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+[12]OTCHET!E573+[12]OTCHET!E574+[12]OTCHET!E575+[12]OTCHET!E576+[12]OTCHET!E577+[12]OTCHET!E578+[12]OTCHET!E579</f>
        <v>0</v>
      </c>
      <c r="F91" s="168">
        <f t="shared" si="12"/>
        <v>0</v>
      </c>
      <c r="G91" s="169">
        <f>+[12]OTCHET!G573+[12]OTCHET!G574+[12]OTCHET!G575+[12]OTCHET!G576+[12]OTCHET!G577+[12]OTCHET!G578+[12]OTCHET!G579</f>
        <v>0</v>
      </c>
      <c r="H91" s="170">
        <f>+[12]OTCHET!H573+[12]OTCHET!H574+[12]OTCHET!H575+[12]OTCHET!H576+[12]OTCHET!H577+[12]OTCHET!H578+[12]OTCHET!H579</f>
        <v>0</v>
      </c>
      <c r="I91" s="170">
        <f>+[12]OTCHET!I573+[12]OTCHET!I574+[12]OTCHET!I575+[12]OTCHET!I576+[12]OTCHET!I577+[12]OTCHET!I578+[12]OTCHET!I579</f>
        <v>0</v>
      </c>
      <c r="J91" s="171">
        <f>+[12]OTCHET!J573+[12]OTCHET!J574+[12]OTCHET!J575+[12]OTCHET!J576+[12]OTCHET!J577+[12]OTCHET!J578+[12]OTCHET!J579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+[12]OTCHET!E580</f>
        <v>0</v>
      </c>
      <c r="F92" s="168">
        <f t="shared" si="12"/>
        <v>0</v>
      </c>
      <c r="G92" s="169">
        <f>+[12]OTCHET!G580</f>
        <v>0</v>
      </c>
      <c r="H92" s="170">
        <f>+[12]OTCHET!H580</f>
        <v>0</v>
      </c>
      <c r="I92" s="170">
        <f>+[12]OTCHET!I580</f>
        <v>0</v>
      </c>
      <c r="J92" s="171">
        <f>+[12]OTCHET!J580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+[12]OTCHET!E587+[12]OTCHET!E588</f>
        <v>0</v>
      </c>
      <c r="F93" s="168">
        <f t="shared" si="12"/>
        <v>0</v>
      </c>
      <c r="G93" s="169">
        <f>+[12]OTCHET!G587+[12]OTCHET!G588</f>
        <v>0</v>
      </c>
      <c r="H93" s="170">
        <f>+[12]OTCHET!H587+[12]OTCHET!H588</f>
        <v>0</v>
      </c>
      <c r="I93" s="170">
        <f>+[12]OTCHET!I587+[12]OTCHET!I588</f>
        <v>0</v>
      </c>
      <c r="J93" s="171">
        <f>+[12]OTCHET!J587+[12]OTCHET!J588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+[12]OTCHET!E589+[12]OTCHET!E590</f>
        <v>0</v>
      </c>
      <c r="F94" s="168">
        <f t="shared" si="12"/>
        <v>0</v>
      </c>
      <c r="G94" s="169">
        <f>+[12]OTCHET!G589+[12]OTCHET!G590</f>
        <v>0</v>
      </c>
      <c r="H94" s="170">
        <f>+[12]OTCHET!H589+[12]OTCHET!H590</f>
        <v>0</v>
      </c>
      <c r="I94" s="170">
        <f>+[12]OTCHET!I589+[12]OTCHET!I590</f>
        <v>0</v>
      </c>
      <c r="J94" s="171">
        <f>+[12]OTCHET!J589+[12]OTCHET!J590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[12]OTCHET!E591</f>
        <v>0</v>
      </c>
      <c r="F95" s="120">
        <f t="shared" si="12"/>
        <v>0</v>
      </c>
      <c r="G95" s="121">
        <f>[12]OTCHET!G591</f>
        <v>-4986</v>
      </c>
      <c r="H95" s="122">
        <f>[12]OTCHET!H591</f>
        <v>0</v>
      </c>
      <c r="I95" s="122">
        <f>[12]OTCHET!I591</f>
        <v>4986</v>
      </c>
      <c r="J95" s="123">
        <f>[12]OTCHET!J591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+[12]OTCHET!E594</f>
        <v>0</v>
      </c>
      <c r="F96" s="396">
        <f t="shared" si="12"/>
        <v>0</v>
      </c>
      <c r="G96" s="397">
        <f>+[12]OTCHET!G594</f>
        <v>0</v>
      </c>
      <c r="H96" s="398">
        <f>+[12]OTCHET!H594</f>
        <v>0</v>
      </c>
      <c r="I96" s="398">
        <f>+[12]OTCHET!I594</f>
        <v>0</v>
      </c>
      <c r="J96" s="399">
        <f>+[12]OTCHET!J594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+[12]OTCHET!H605</f>
        <v>0</v>
      </c>
      <c r="C107" s="421"/>
      <c r="D107" s="421"/>
      <c r="E107" s="426"/>
      <c r="F107" s="19"/>
      <c r="G107" s="427">
        <f>+[12]OTCHET!E605</f>
        <v>0</v>
      </c>
      <c r="H107" s="427">
        <f>+[12]OTCHET!F605</f>
        <v>0</v>
      </c>
      <c r="I107" s="428"/>
      <c r="J107" s="429" t="str">
        <f>+[12]OTCHET!B605</f>
        <v>31.12.2023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 priority="21" stopIfTrue="1" operator="notEqual">
      <formula>0</formula>
    </cfRule>
  </conditionalFormatting>
  <conditionalFormatting sqref="E105:J105">
    <cfRule type="cellIs" dxfId="19" priority="20" stopIfTrue="1" operator="notEqual">
      <formula>0</formula>
    </cfRule>
  </conditionalFormatting>
  <conditionalFormatting sqref="G107:H107 B107">
    <cfRule type="cellIs" dxfId="18" priority="19" stopIfTrue="1" operator="equal">
      <formula>0</formula>
    </cfRule>
  </conditionalFormatting>
  <conditionalFormatting sqref="I114 E110">
    <cfRule type="cellIs" dxfId="17" priority="18" stopIfTrue="1" operator="equal">
      <formula>0</formula>
    </cfRule>
  </conditionalFormatting>
  <conditionalFormatting sqref="J107">
    <cfRule type="cellIs" dxfId="16" priority="17" stopIfTrue="1" operator="equal">
      <formula>0</formula>
    </cfRule>
  </conditionalFormatting>
  <conditionalFormatting sqref="E114:F114">
    <cfRule type="cellIs" dxfId="15" priority="16" stopIfTrue="1" operator="equal">
      <formula>0</formula>
    </cfRule>
  </conditionalFormatting>
  <conditionalFormatting sqref="F15">
    <cfRule type="cellIs" dxfId="14" priority="11" stopIfTrue="1" operator="equal">
      <formula>"Чужди средства"</formula>
    </cfRule>
    <cfRule type="cellIs" dxfId="13" priority="12" stopIfTrue="1" operator="equal">
      <formula>"СЕС - ДМП"</formula>
    </cfRule>
    <cfRule type="cellIs" dxfId="12" priority="13" stopIfTrue="1" operator="equal">
      <formula>"СЕС - РА"</formula>
    </cfRule>
    <cfRule type="cellIs" dxfId="11" priority="14" stopIfTrue="1" operator="equal">
      <formula>"СЕС - ДЕС"</formula>
    </cfRule>
    <cfRule type="cellIs" dxfId="10" priority="15" stopIfTrue="1" operator="equal">
      <formula>"СЕС - КСФ"</formula>
    </cfRule>
  </conditionalFormatting>
  <conditionalFormatting sqref="B105">
    <cfRule type="cellIs" dxfId="9" priority="10" stopIfTrue="1" operator="notEqual">
      <formula>0</formula>
    </cfRule>
  </conditionalFormatting>
  <conditionalFormatting sqref="I11:J11">
    <cfRule type="cellIs" dxfId="8" priority="6" stopIfTrue="1" operator="between">
      <formula>1000000000000</formula>
      <formula>9999999999999990</formula>
    </cfRule>
    <cfRule type="cellIs" dxfId="7" priority="7" stopIfTrue="1" operator="between">
      <formula>10000000000</formula>
      <formula>999999999999</formula>
    </cfRule>
    <cfRule type="cellIs" dxfId="6" priority="8" stopIfTrue="1" operator="between">
      <formula>1000000</formula>
      <formula>99999999</formula>
    </cfRule>
    <cfRule type="cellIs" dxfId="5" priority="9" stopIfTrue="1" operator="between">
      <formula>100</formula>
      <formula>9999</formula>
    </cfRule>
  </conditionalFormatting>
  <conditionalFormatting sqref="E15">
    <cfRule type="cellIs" dxfId="4" priority="1" stopIfTrue="1" operator="equal">
      <formula>"Чужди средства"</formula>
    </cfRule>
    <cfRule type="cellIs" dxfId="3" priority="2" stopIfTrue="1" operator="equal">
      <formula>"СЕС - ДМП"</formula>
    </cfRule>
    <cfRule type="cellIs" dxfId="2" priority="3" stopIfTrue="1" operator="equal">
      <formula>"СЕС - РА"</formula>
    </cfRule>
    <cfRule type="cellIs" dxfId="1" priority="4" stopIfTrue="1" operator="equal">
      <formula>"СЕС - ДЕС"</formula>
    </cfRule>
    <cfRule type="cellIs" dxfId="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+[2]OTCHET!B9</f>
        <v>РИОСВ - ПЛОВДИВ</v>
      </c>
      <c r="C11" s="22"/>
      <c r="D11" s="22"/>
      <c r="E11" s="23" t="s">
        <v>0</v>
      </c>
      <c r="F11" s="24">
        <f>[2]OTCHET!F9</f>
        <v>44985</v>
      </c>
      <c r="G11" s="25" t="s">
        <v>1</v>
      </c>
      <c r="H11" s="26">
        <f>+[2]OTCHET!H9</f>
        <v>471013</v>
      </c>
      <c r="I11" s="448">
        <f>+[2]OTCHET!I9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+[2]OTCHET!B12</f>
        <v>Министерство на околната среда и водите</v>
      </c>
      <c r="C13" s="31"/>
      <c r="D13" s="31"/>
      <c r="E13" s="35" t="str">
        <f>+[2]OTCHET!E12</f>
        <v>код по ЕБК:</v>
      </c>
      <c r="F13" s="36" t="str">
        <f>+[2]OTCHET!F12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+[2]OTCHET!E15</f>
        <v>0</v>
      </c>
      <c r="F15" s="41" t="str">
        <f>[2]OTCHET!F15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29155</v>
      </c>
      <c r="G22" s="103">
        <f t="shared" si="0"/>
        <v>29555</v>
      </c>
      <c r="H22" s="104">
        <f t="shared" si="0"/>
        <v>0</v>
      </c>
      <c r="I22" s="104">
        <f t="shared" si="0"/>
        <v>0</v>
      </c>
      <c r="J22" s="105">
        <f t="shared" si="0"/>
        <v>-400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[2]OTCHET!E22+[2]OTCHET!E28+[2]OTCHET!E33+[2]OTCHET!E39+[2]OTCHET!E47+[2]OTCHET!E52+[2]OTCHET!E58+[2]OTCHET!E61+[2]OTCHET!E64+[2]OTCHET!E65+[2]OTCHET!E72+[2]OTCHET!E73</f>
        <v>0</v>
      </c>
      <c r="F23" s="111">
        <f t="shared" ref="F23:F88" si="1">+G23+H23+I23+J23</f>
        <v>0</v>
      </c>
      <c r="G23" s="112">
        <f>[2]OTCHET!G22+[2]OTCHET!G28+[2]OTCHET!G33+[2]OTCHET!G39+[2]OTCHET!G47+[2]OTCHET!G52+[2]OTCHET!G58+[2]OTCHET!G61+[2]OTCHET!G64+[2]OTCHET!G65+[2]OTCHET!G72+[2]OTCHET!G73</f>
        <v>0</v>
      </c>
      <c r="H23" s="113">
        <f>[2]OTCHET!H22+[2]OTCHET!H28+[2]OTCHET!H33+[2]OTCHET!H39+[2]OTCHET!H47+[2]OTCHET!H52+[2]OTCHET!H58+[2]OTCHET!H61+[2]OTCHET!H64+[2]OTCHET!H65+[2]OTCHET!H72+[2]OTCHET!H73</f>
        <v>0</v>
      </c>
      <c r="I23" s="113">
        <f>[2]OTCHET!I22+[2]OTCHET!I28+[2]OTCHET!I33+[2]OTCHET!I39+[2]OTCHET!I47+[2]OTCHET!I52+[2]OTCHET!I58+[2]OTCHET!I61+[2]OTCHET!I64+[2]OTCHET!I65+[2]OTCHET!I72+[2]OTCHET!I73</f>
        <v>0</v>
      </c>
      <c r="J23" s="114">
        <f>[2]OTCHET!J22+[2]OTCHET!J28+[2]OTCHET!J33+[2]OTCHET!J39+[2]OTCHET!J47+[2]OTCHET!J52+[2]OTCHET!J58+[2]OTCHET!J61+[2]OTCHET!J64+[2]OTCHET!J65+[2]OTCHET!J72+[2]OTCHET!J73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29155</v>
      </c>
      <c r="G25" s="128">
        <f t="shared" ref="G25:M25" si="2">+G26+G30+G31+G32+G33</f>
        <v>29555</v>
      </c>
      <c r="H25" s="129">
        <f>+H26+H30+H31+H32+H33</f>
        <v>0</v>
      </c>
      <c r="I25" s="129">
        <f>+I26+I30+I31+I32+I33</f>
        <v>0</v>
      </c>
      <c r="J25" s="130">
        <f>+J26+J30+J31+J32+J33</f>
        <v>-400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[2]OTCHET!E74</f>
        <v>0</v>
      </c>
      <c r="F26" s="133">
        <f t="shared" si="1"/>
        <v>0</v>
      </c>
      <c r="G26" s="134">
        <f>[2]OTCHET!G74</f>
        <v>0</v>
      </c>
      <c r="H26" s="135">
        <f>[2]OTCHET!H74</f>
        <v>0</v>
      </c>
      <c r="I26" s="135">
        <f>[2]OTCHET!I74</f>
        <v>0</v>
      </c>
      <c r="J26" s="136">
        <f>[2]OTCHET!J74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[2]OTCHET!E75</f>
        <v>0</v>
      </c>
      <c r="F27" s="140">
        <f t="shared" si="1"/>
        <v>0</v>
      </c>
      <c r="G27" s="141">
        <f>[2]OTCHET!G75</f>
        <v>0</v>
      </c>
      <c r="H27" s="142">
        <f>[2]OTCHET!H75</f>
        <v>0</v>
      </c>
      <c r="I27" s="142">
        <f>[2]OTCHET!I75</f>
        <v>0</v>
      </c>
      <c r="J27" s="143">
        <f>[2]OTCHET!J75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[2]OTCHET!E77</f>
        <v>0</v>
      </c>
      <c r="F28" s="148">
        <f t="shared" si="1"/>
        <v>0</v>
      </c>
      <c r="G28" s="149">
        <f>[2]OTCHET!G77</f>
        <v>0</v>
      </c>
      <c r="H28" s="150">
        <f>[2]OTCHET!H77</f>
        <v>0</v>
      </c>
      <c r="I28" s="150">
        <f>[2]OTCHET!I77</f>
        <v>0</v>
      </c>
      <c r="J28" s="151">
        <f>[2]OTCHET!J77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+[2]OTCHET!E78+[2]OTCHET!E79</f>
        <v>0</v>
      </c>
      <c r="F29" s="156">
        <f t="shared" si="1"/>
        <v>0</v>
      </c>
      <c r="G29" s="157">
        <f>+[2]OTCHET!G78+[2]OTCHET!G79</f>
        <v>0</v>
      </c>
      <c r="H29" s="158">
        <f>+[2]OTCHET!H78+[2]OTCHET!H79</f>
        <v>0</v>
      </c>
      <c r="I29" s="158">
        <f>+[2]OTCHET!I78+[2]OTCHET!I79</f>
        <v>0</v>
      </c>
      <c r="J29" s="159">
        <f>+[2]OTCHET!J78+[2]OTCHET!J79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[2]OTCHET!E90+[2]OTCHET!E93+[2]OTCHET!E94</f>
        <v>0</v>
      </c>
      <c r="F30" s="162">
        <f t="shared" si="1"/>
        <v>25266</v>
      </c>
      <c r="G30" s="163">
        <f>[2]OTCHET!G90+[2]OTCHET!G93+[2]OTCHET!G94</f>
        <v>25266</v>
      </c>
      <c r="H30" s="164">
        <f>[2]OTCHET!H90+[2]OTCHET!H93+[2]OTCHET!H94</f>
        <v>0</v>
      </c>
      <c r="I30" s="164">
        <f>[2]OTCHET!I90+[2]OTCHET!I93+[2]OTCHET!I94</f>
        <v>0</v>
      </c>
      <c r="J30" s="165">
        <f>[2]OTCHET!J90+[2]OTCHET!J93+[2]OTCHET!J94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[2]OTCHET!E106</f>
        <v>0</v>
      </c>
      <c r="F31" s="168">
        <f t="shared" si="1"/>
        <v>3889</v>
      </c>
      <c r="G31" s="169">
        <f>[2]OTCHET!G106</f>
        <v>3889</v>
      </c>
      <c r="H31" s="170">
        <f>[2]OTCHET!H106</f>
        <v>0</v>
      </c>
      <c r="I31" s="170">
        <f>[2]OTCHET!I106</f>
        <v>0</v>
      </c>
      <c r="J31" s="171">
        <f>[2]OTCHET!J106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[2]OTCHET!E110+[2]OTCHET!E119+[2]OTCHET!E135+[2]OTCHET!E136</f>
        <v>0</v>
      </c>
      <c r="F32" s="168">
        <f t="shared" si="1"/>
        <v>0</v>
      </c>
      <c r="G32" s="169">
        <f>[2]OTCHET!G110+[2]OTCHET!G119+[2]OTCHET!G135+[2]OTCHET!G136</f>
        <v>400</v>
      </c>
      <c r="H32" s="170">
        <f>[2]OTCHET!H110+[2]OTCHET!H119+[2]OTCHET!H135+[2]OTCHET!H136</f>
        <v>0</v>
      </c>
      <c r="I32" s="170">
        <f>[2]OTCHET!I110+[2]OTCHET!I119+[2]OTCHET!I135+[2]OTCHET!I136</f>
        <v>0</v>
      </c>
      <c r="J32" s="171">
        <f>[2]OTCHET!J110+[2]OTCHET!J119+[2]OTCHET!J135+[2]OTCHET!J136</f>
        <v>-400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[2]OTCHET!E123</f>
        <v>0</v>
      </c>
      <c r="F33" s="120">
        <f t="shared" si="1"/>
        <v>0</v>
      </c>
      <c r="G33" s="121">
        <f>[2]OTCHET!G123</f>
        <v>0</v>
      </c>
      <c r="H33" s="122">
        <f>[2]OTCHET!H123</f>
        <v>0</v>
      </c>
      <c r="I33" s="122">
        <f>[2]OTCHET!I123</f>
        <v>0</v>
      </c>
      <c r="J33" s="123">
        <f>[2]OTCHET!J123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+[2]OTCHET!E137</f>
        <v>0</v>
      </c>
      <c r="F36" s="191">
        <f t="shared" si="1"/>
        <v>0</v>
      </c>
      <c r="G36" s="192">
        <f>+[2]OTCHET!G137</f>
        <v>0</v>
      </c>
      <c r="H36" s="193">
        <f>+[2]OTCHET!H137</f>
        <v>0</v>
      </c>
      <c r="I36" s="193">
        <f>+[2]OTCHET!I137</f>
        <v>0</v>
      </c>
      <c r="J36" s="194">
        <f>+[2]OTCHET!J137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[2]OTCHET!E140+[2]OTCHET!E149+[2]OTCHET!E158</f>
        <v>0</v>
      </c>
      <c r="F37" s="199">
        <f t="shared" si="1"/>
        <v>0</v>
      </c>
      <c r="G37" s="200">
        <f>[2]OTCHET!G140+[2]OTCHET!G149+[2]OTCHET!G158</f>
        <v>0</v>
      </c>
      <c r="H37" s="201">
        <f>[2]OTCHET!H140+[2]OTCHET!H149+[2]OTCHET!H158</f>
        <v>0</v>
      </c>
      <c r="I37" s="201">
        <f>[2]OTCHET!I140+[2]OTCHET!I149+[2]OTCHET!I158</f>
        <v>0</v>
      </c>
      <c r="J37" s="202">
        <f>[2]OTCHET!J140+[2]OTCHET!J149+[2]OTCHET!J158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216323</v>
      </c>
      <c r="G38" s="210">
        <f t="shared" si="3"/>
        <v>159116</v>
      </c>
      <c r="H38" s="211">
        <f t="shared" si="3"/>
        <v>0</v>
      </c>
      <c r="I38" s="211">
        <f t="shared" si="3"/>
        <v>1201</v>
      </c>
      <c r="J38" s="212">
        <f t="shared" si="3"/>
        <v>56006</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197974</v>
      </c>
      <c r="G39" s="222">
        <f t="shared" si="4"/>
        <v>141968</v>
      </c>
      <c r="H39" s="223">
        <f t="shared" si="4"/>
        <v>0</v>
      </c>
      <c r="I39" s="223">
        <f t="shared" si="4"/>
        <v>0</v>
      </c>
      <c r="J39" s="224">
        <f t="shared" si="4"/>
        <v>56006</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[2]OTCHET!E187</f>
        <v>0</v>
      </c>
      <c r="F40" s="229">
        <f t="shared" si="1"/>
        <v>124659</v>
      </c>
      <c r="G40" s="230">
        <f>[2]OTCHET!G187</f>
        <v>109422</v>
      </c>
      <c r="H40" s="231">
        <f>[2]OTCHET!H187</f>
        <v>0</v>
      </c>
      <c r="I40" s="231">
        <f>[2]OTCHET!I187</f>
        <v>0</v>
      </c>
      <c r="J40" s="232">
        <f>[2]OTCHET!J187</f>
        <v>15237</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[2]OTCHET!E190</f>
        <v>0</v>
      </c>
      <c r="F41" s="237">
        <f t="shared" si="1"/>
        <v>33286</v>
      </c>
      <c r="G41" s="238">
        <f>[2]OTCHET!G190</f>
        <v>32546</v>
      </c>
      <c r="H41" s="239">
        <f>[2]OTCHET!H190</f>
        <v>0</v>
      </c>
      <c r="I41" s="239">
        <f>[2]OTCHET!I190</f>
        <v>0</v>
      </c>
      <c r="J41" s="240">
        <f>[2]OTCHET!J190</f>
        <v>740</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+[2]OTCHET!E196+[2]OTCHET!E204</f>
        <v>0</v>
      </c>
      <c r="F42" s="244">
        <f t="shared" si="1"/>
        <v>40029</v>
      </c>
      <c r="G42" s="245">
        <f>+[2]OTCHET!G196+[2]OTCHET!G204</f>
        <v>0</v>
      </c>
      <c r="H42" s="246">
        <f>+[2]OTCHET!H196+[2]OTCHET!H204</f>
        <v>0</v>
      </c>
      <c r="I42" s="246">
        <f>+[2]OTCHET!I196+[2]OTCHET!I204</f>
        <v>0</v>
      </c>
      <c r="J42" s="247">
        <f>+[2]OTCHET!J196+[2]OTCHET!J204</f>
        <v>40029</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+[2]OTCHET!E205+[2]OTCHET!E223+[2]OTCHET!E271</f>
        <v>0</v>
      </c>
      <c r="F43" s="250">
        <f t="shared" si="1"/>
        <v>18349</v>
      </c>
      <c r="G43" s="251">
        <f>+[2]OTCHET!G205+[2]OTCHET!G223+[2]OTCHET!G271</f>
        <v>17148</v>
      </c>
      <c r="H43" s="252">
        <f>+[2]OTCHET!H205+[2]OTCHET!H223+[2]OTCHET!H271</f>
        <v>0</v>
      </c>
      <c r="I43" s="252">
        <f>+[2]OTCHET!I205+[2]OTCHET!I223+[2]OTCHET!I271</f>
        <v>1201</v>
      </c>
      <c r="J43" s="253">
        <f>+[2]OTCHET!J205+[2]OTCHET!J223+[2]OTCHET!J271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+[2]OTCHET!E227+[2]OTCHET!E233+[2]OTCHET!E236+[2]OTCHET!E237+[2]OTCHET!E238+[2]OTCHET!E239+[2]OTCHET!E240</f>
        <v>0</v>
      </c>
      <c r="F44" s="120">
        <f t="shared" si="1"/>
        <v>0</v>
      </c>
      <c r="G44" s="121">
        <f>+[2]OTCHET!G227+[2]OTCHET!G233+[2]OTCHET!G236+[2]OTCHET!G237+[2]OTCHET!G238+[2]OTCHET!G239+[2]OTCHET!G240</f>
        <v>0</v>
      </c>
      <c r="H44" s="122">
        <f>+[2]OTCHET!H227+[2]OTCHET!H233+[2]OTCHET!H236+[2]OTCHET!H237+[2]OTCHET!H238+[2]OTCHET!H239+[2]OTCHET!H240</f>
        <v>0</v>
      </c>
      <c r="I44" s="122">
        <f>+[2]OTCHET!I227+[2]OTCHET!I233+[2]OTCHET!I236+[2]OTCHET!I237+[2]OTCHET!I238+[2]OTCHET!I239+[2]OTCHET!I240</f>
        <v>0</v>
      </c>
      <c r="J44" s="123">
        <f>+[2]OTCHET!J227+[2]OTCHET!J233+[2]OTCHET!J236+[2]OTCHET!J237+[2]OTCHET!J238+[2]OTCHET!J239+[2]OTCHET!J240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+[2]OTCHET!E236+[2]OTCHET!E237+[2]OTCHET!E238+[2]OTCHET!E239+[2]OTCHET!E243+[2]OTCHET!E244+[2]OTCHET!E248</f>
        <v>0</v>
      </c>
      <c r="F45" s="256">
        <f t="shared" si="1"/>
        <v>0</v>
      </c>
      <c r="G45" s="257">
        <f>+[2]OTCHET!G236+[2]OTCHET!G237+[2]OTCHET!G238+[2]OTCHET!G239+[2]OTCHET!G243+[2]OTCHET!G244+[2]OTCHET!G248</f>
        <v>0</v>
      </c>
      <c r="H45" s="258">
        <f>+[2]OTCHET!H236+[2]OTCHET!H237+[2]OTCHET!H238+[2]OTCHET!H239+[2]OTCHET!H243+[2]OTCHET!H244+[2]OTCHET!H248</f>
        <v>0</v>
      </c>
      <c r="I45" s="259">
        <f>+[2]OTCHET!I236+[2]OTCHET!I237+[2]OTCHET!I238+[2]OTCHET!I239+[2]OTCHET!I243+[2]OTCHET!I244+[2]OTCHET!I248</f>
        <v>0</v>
      </c>
      <c r="J45" s="260">
        <f>+[2]OTCHET!J236+[2]OTCHET!J237+[2]OTCHET!J238+[2]OTCHET!J239+[2]OTCHET!J243+[2]OTCHET!J244+[2]OTCHET!J248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+[2]OTCHET!E255+[2]OTCHET!E256+[2]OTCHET!E257+[2]OTCHET!E258</f>
        <v>0</v>
      </c>
      <c r="F46" s="250">
        <f t="shared" si="1"/>
        <v>0</v>
      </c>
      <c r="G46" s="251">
        <f>+[2]OTCHET!G255+[2]OTCHET!G256+[2]OTCHET!G257+[2]OTCHET!G258</f>
        <v>0</v>
      </c>
      <c r="H46" s="252">
        <f>+[2]OTCHET!H255+[2]OTCHET!H256+[2]OTCHET!H257+[2]OTCHET!H258</f>
        <v>0</v>
      </c>
      <c r="I46" s="252">
        <f>+[2]OTCHET!I255+[2]OTCHET!I256+[2]OTCHET!I257+[2]OTCHET!I258</f>
        <v>0</v>
      </c>
      <c r="J46" s="253">
        <f>+[2]OTCHET!J255+[2]OTCHET!J256+[2]OTCHET!J257+[2]OTCHET!J258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+[2]OTCHET!E256</f>
        <v>0</v>
      </c>
      <c r="F47" s="256">
        <f t="shared" si="1"/>
        <v>0</v>
      </c>
      <c r="G47" s="257">
        <f>+[2]OTCHET!G256</f>
        <v>0</v>
      </c>
      <c r="H47" s="258">
        <f>+[2]OTCHET!H256</f>
        <v>0</v>
      </c>
      <c r="I47" s="259">
        <f>+[2]OTCHET!I256</f>
        <v>0</v>
      </c>
      <c r="J47" s="260">
        <f>+[2]OTCHET!J256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+[2]OTCHET!E265+[2]OTCHET!E269+[2]OTCHET!E270</f>
        <v>0</v>
      </c>
      <c r="F48" s="168">
        <f t="shared" si="1"/>
        <v>0</v>
      </c>
      <c r="G48" s="163">
        <f>+[2]OTCHET!G265+[2]OTCHET!G269+[2]OTCHET!G270</f>
        <v>0</v>
      </c>
      <c r="H48" s="164">
        <f>+[2]OTCHET!H265+[2]OTCHET!H269+[2]OTCHET!H270</f>
        <v>0</v>
      </c>
      <c r="I48" s="164">
        <f>+[2]OTCHET!I265+[2]OTCHET!I269+[2]OTCHET!I270</f>
        <v>0</v>
      </c>
      <c r="J48" s="165">
        <f>+[2]OTCHET!J265+[2]OTCHET!J269+[2]OTCHET!J270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[2]OTCHET!E275+[2]OTCHET!E276+[2]OTCHET!E284+[2]OTCHET!E287</f>
        <v>0</v>
      </c>
      <c r="F49" s="168">
        <f t="shared" si="1"/>
        <v>0</v>
      </c>
      <c r="G49" s="169">
        <f>[2]OTCHET!G275+[2]OTCHET!G276+[2]OTCHET!G284+[2]OTCHET!G287</f>
        <v>0</v>
      </c>
      <c r="H49" s="170">
        <f>[2]OTCHET!H275+[2]OTCHET!H276+[2]OTCHET!H284+[2]OTCHET!H287</f>
        <v>0</v>
      </c>
      <c r="I49" s="170">
        <f>[2]OTCHET!I275+[2]OTCHET!I276+[2]OTCHET!I284+[2]OTCHET!I287</f>
        <v>0</v>
      </c>
      <c r="J49" s="171">
        <f>[2]OTCHET!J275+[2]OTCHET!J276+[2]OTCHET!J284+[2]OTCHET!J287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+[2]OTCHET!E288</f>
        <v>0</v>
      </c>
      <c r="F50" s="168">
        <f t="shared" si="1"/>
        <v>0</v>
      </c>
      <c r="G50" s="169">
        <f>+[2]OTCHET!G288</f>
        <v>0</v>
      </c>
      <c r="H50" s="170">
        <f>+[2]OTCHET!H288</f>
        <v>0</v>
      </c>
      <c r="I50" s="170">
        <f>+[2]OTCHET!I288</f>
        <v>0</v>
      </c>
      <c r="J50" s="171">
        <f>+[2]OTCHET!J288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+[2]OTCHET!E272</f>
        <v>0</v>
      </c>
      <c r="F51" s="120">
        <f>+G51+H51+I51+J51</f>
        <v>0</v>
      </c>
      <c r="G51" s="121">
        <f>+[2]OTCHET!G272</f>
        <v>0</v>
      </c>
      <c r="H51" s="122">
        <f>+[2]OTCHET!H272</f>
        <v>0</v>
      </c>
      <c r="I51" s="122">
        <f>+[2]OTCHET!I272</f>
        <v>0</v>
      </c>
      <c r="J51" s="123">
        <f>+[2]OTCHET!J272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+[2]OTCHET!E293</f>
        <v>0</v>
      </c>
      <c r="F52" s="120">
        <f t="shared" si="1"/>
        <v>0</v>
      </c>
      <c r="G52" s="121">
        <f>+[2]OTCHET!G293</f>
        <v>0</v>
      </c>
      <c r="H52" s="122">
        <f>+[2]OTCHET!H293</f>
        <v>0</v>
      </c>
      <c r="I52" s="122">
        <f>+[2]OTCHET!I293</f>
        <v>0</v>
      </c>
      <c r="J52" s="123">
        <f>+[2]OTCHET!J293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[2]OTCHET!E294</f>
        <v>0</v>
      </c>
      <c r="F53" s="267">
        <f t="shared" si="1"/>
        <v>0</v>
      </c>
      <c r="G53" s="268">
        <f>[2]OTCHET!G294</f>
        <v>0</v>
      </c>
      <c r="H53" s="269">
        <f>[2]OTCHET!H294</f>
        <v>0</v>
      </c>
      <c r="I53" s="269">
        <f>[2]OTCHET!I294</f>
        <v>0</v>
      </c>
      <c r="J53" s="270">
        <f>[2]OTCHET!J294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[2]OTCHET!E296</f>
        <v>0</v>
      </c>
      <c r="F54" s="275">
        <f t="shared" si="1"/>
        <v>0</v>
      </c>
      <c r="G54" s="276">
        <f>[2]OTCHET!G296</f>
        <v>0</v>
      </c>
      <c r="H54" s="277">
        <f>[2]OTCHET!H296</f>
        <v>0</v>
      </c>
      <c r="I54" s="277">
        <f>[2]OTCHET!I296</f>
        <v>0</v>
      </c>
      <c r="J54" s="278">
        <f>[2]OTCHET!J296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+[2]OTCHET!E297</f>
        <v>0</v>
      </c>
      <c r="F55" s="284">
        <f t="shared" si="1"/>
        <v>0</v>
      </c>
      <c r="G55" s="285">
        <f>+[2]OTCHET!G297</f>
        <v>0</v>
      </c>
      <c r="H55" s="286">
        <f>+[2]OTCHET!H297</f>
        <v>0</v>
      </c>
      <c r="I55" s="286">
        <f>+[2]OTCHET!I297</f>
        <v>0</v>
      </c>
      <c r="J55" s="287">
        <f>+[2]OTCHET!J297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177289</v>
      </c>
      <c r="G56" s="294">
        <f t="shared" si="5"/>
        <v>121283</v>
      </c>
      <c r="H56" s="295">
        <f t="shared" si="5"/>
        <v>0</v>
      </c>
      <c r="I56" s="296">
        <f t="shared" si="5"/>
        <v>0</v>
      </c>
      <c r="J56" s="297">
        <f t="shared" si="5"/>
        <v>56006</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+[2]OTCHET!E361+[2]OTCHET!E375+[2]OTCHET!E388</f>
        <v>0</v>
      </c>
      <c r="F57" s="299">
        <f t="shared" si="1"/>
        <v>0</v>
      </c>
      <c r="G57" s="300">
        <f>+[2]OTCHET!G361+[2]OTCHET!G375+[2]OTCHET!G388</f>
        <v>0</v>
      </c>
      <c r="H57" s="301">
        <f>+[2]OTCHET!H361+[2]OTCHET!H375+[2]OTCHET!H388</f>
        <v>0</v>
      </c>
      <c r="I57" s="301">
        <f>+[2]OTCHET!I361+[2]OTCHET!I375+[2]OTCHET!I388</f>
        <v>0</v>
      </c>
      <c r="J57" s="302">
        <f>+[2]OTCHET!J361+[2]OTCHET!J375+[2]OTCHET!J388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+[2]OTCHET!E383+[2]OTCHET!E391+[2]OTCHET!E396+[2]OTCHET!E399+[2]OTCHET!E402+[2]OTCHET!E405+[2]OTCHET!E406+[2]OTCHET!E409+[2]OTCHET!E422+[2]OTCHET!E423+[2]OTCHET!E424+[2]OTCHET!E425+[2]OTCHET!E426</f>
        <v>0</v>
      </c>
      <c r="F58" s="304">
        <f t="shared" si="1"/>
        <v>121283</v>
      </c>
      <c r="G58" s="305">
        <f>+[2]OTCHET!G383+[2]OTCHET!G391+[2]OTCHET!G396+[2]OTCHET!G399+[2]OTCHET!G402+[2]OTCHET!G405+[2]OTCHET!G406+[2]OTCHET!G409+[2]OTCHET!G422+[2]OTCHET!G423+[2]OTCHET!G424+[2]OTCHET!G425+[2]OTCHET!G426</f>
        <v>121283</v>
      </c>
      <c r="H58" s="306">
        <f>+[2]OTCHET!H383+[2]OTCHET!H391+[2]OTCHET!H396+[2]OTCHET!H399+[2]OTCHET!H402+[2]OTCHET!H405+[2]OTCHET!H406+[2]OTCHET!H409+[2]OTCHET!H422+[2]OTCHET!H423+[2]OTCHET!H424+[2]OTCHET!H425+[2]OTCHET!H426</f>
        <v>0</v>
      </c>
      <c r="I58" s="306">
        <f>+[2]OTCHET!I383+[2]OTCHET!I391+[2]OTCHET!I396+[2]OTCHET!I399+[2]OTCHET!I402+[2]OTCHET!I405+[2]OTCHET!I406+[2]OTCHET!I409+[2]OTCHET!I422+[2]OTCHET!I423+[2]OTCHET!I424+[2]OTCHET!I425+[2]OTCHET!I426</f>
        <v>0</v>
      </c>
      <c r="J58" s="307">
        <f>+[2]OTCHET!J383+[2]OTCHET!J391+[2]OTCHET!J396+[2]OTCHET!J399+[2]OTCHET!J402+[2]OTCHET!J405+[2]OTCHET!J406+[2]OTCHET!J409+[2]OTCHET!J422+[2]OTCHET!J423+[2]OTCHET!J424+[2]OTCHET!J425+[2]OTCHET!J426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+[2]OTCHET!E422+[2]OTCHET!E423+[2]OTCHET!E424+[2]OTCHET!E425+[2]OTCHET!E426</f>
        <v>0</v>
      </c>
      <c r="F59" s="309">
        <f t="shared" si="1"/>
        <v>0</v>
      </c>
      <c r="G59" s="310">
        <f>+[2]OTCHET!G422+[2]OTCHET!G423+[2]OTCHET!G424+[2]OTCHET!G425+[2]OTCHET!G426</f>
        <v>0</v>
      </c>
      <c r="H59" s="311">
        <f>+[2]OTCHET!H422+[2]OTCHET!H423+[2]OTCHET!H424+[2]OTCHET!H425+[2]OTCHET!H426</f>
        <v>0</v>
      </c>
      <c r="I59" s="311">
        <f>+[2]OTCHET!I422+[2]OTCHET!I423+[2]OTCHET!I424+[2]OTCHET!I425+[2]OTCHET!I426</f>
        <v>0</v>
      </c>
      <c r="J59" s="312">
        <f>+[2]OTCHET!J422+[2]OTCHET!J423+[2]OTCHET!J424+[2]OTCHET!J425+[2]OTCHET!J426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[2]OTCHET!E405</f>
        <v>0</v>
      </c>
      <c r="F60" s="316">
        <f t="shared" si="1"/>
        <v>0</v>
      </c>
      <c r="G60" s="317">
        <f>[2]OTCHET!G405</f>
        <v>0</v>
      </c>
      <c r="H60" s="318">
        <f>[2]OTCHET!H405</f>
        <v>0</v>
      </c>
      <c r="I60" s="318">
        <f>[2]OTCHET!I405</f>
        <v>0</v>
      </c>
      <c r="J60" s="319">
        <f>[2]OTCHET!J405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[2]OTCHET!E412</f>
        <v>0</v>
      </c>
      <c r="F62" s="199">
        <f t="shared" si="1"/>
        <v>56006</v>
      </c>
      <c r="G62" s="200">
        <f>[2]OTCHET!G412</f>
        <v>0</v>
      </c>
      <c r="H62" s="201">
        <f>[2]OTCHET!H412</f>
        <v>0</v>
      </c>
      <c r="I62" s="201">
        <f>[2]OTCHET!I412</f>
        <v>0</v>
      </c>
      <c r="J62" s="202">
        <f>[2]OTCHET!J412</f>
        <v>56006</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+[2]OTCHET!E249</f>
        <v>0</v>
      </c>
      <c r="F63" s="328">
        <f t="shared" si="1"/>
        <v>0</v>
      </c>
      <c r="G63" s="329">
        <f>+[2]OTCHET!G249</f>
        <v>0</v>
      </c>
      <c r="H63" s="330">
        <f>+[2]OTCHET!H249</f>
        <v>0</v>
      </c>
      <c r="I63" s="330">
        <f>+[2]OTCHET!I249</f>
        <v>0</v>
      </c>
      <c r="J63" s="331">
        <f>+[2]OTCHET!J249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-9879</v>
      </c>
      <c r="G64" s="337">
        <f t="shared" si="6"/>
        <v>-8278</v>
      </c>
      <c r="H64" s="338">
        <f t="shared" si="6"/>
        <v>0</v>
      </c>
      <c r="I64" s="338">
        <f t="shared" si="6"/>
        <v>-1201</v>
      </c>
      <c r="J64" s="339">
        <f t="shared" si="6"/>
        <v>-400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9879</v>
      </c>
      <c r="G66" s="349">
        <f t="shared" ref="G66:L66" si="8">SUM(+G68+G76+G77+G84+G85+G86+G89+G90+G91+G92+G93+G94+G95)</f>
        <v>8278</v>
      </c>
      <c r="H66" s="350">
        <f>SUM(+H68+H76+H77+H84+H85+H86+H89+H90+H91+H92+H93+H94+H95)</f>
        <v>0</v>
      </c>
      <c r="I66" s="350">
        <f>SUM(+I68+I76+I77+I84+I85+I86+I89+I90+I91+I92+I93+I94+I95)</f>
        <v>1201</v>
      </c>
      <c r="J66" s="351">
        <f>SUM(+J68+J76+J77+J84+J85+J86+J89+J90+J91+J92+J93+J94+J95)</f>
        <v>400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+[2]OTCHET!E482+[2]OTCHET!E483+[2]OTCHET!E486+[2]OTCHET!E487+[2]OTCHET!E490+[2]OTCHET!E491+[2]OTCHET!E495</f>
        <v>0</v>
      </c>
      <c r="F69" s="367">
        <f t="shared" si="1"/>
        <v>0</v>
      </c>
      <c r="G69" s="368">
        <f>+[2]OTCHET!G482+[2]OTCHET!G483+[2]OTCHET!G486+[2]OTCHET!G487+[2]OTCHET!G490+[2]OTCHET!G491+[2]OTCHET!G495</f>
        <v>0</v>
      </c>
      <c r="H69" s="369">
        <f>+[2]OTCHET!H482+[2]OTCHET!H483+[2]OTCHET!H486+[2]OTCHET!H487+[2]OTCHET!H490+[2]OTCHET!H491+[2]OTCHET!H495</f>
        <v>0</v>
      </c>
      <c r="I69" s="369">
        <f>+[2]OTCHET!I482+[2]OTCHET!I483+[2]OTCHET!I486+[2]OTCHET!I487+[2]OTCHET!I490+[2]OTCHET!I491+[2]OTCHET!I495</f>
        <v>0</v>
      </c>
      <c r="J69" s="370">
        <f>+[2]OTCHET!J482+[2]OTCHET!J483+[2]OTCHET!J486+[2]OTCHET!J487+[2]OTCHET!J490+[2]OTCHET!J491+[2]OTCHET!J495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+[2]OTCHET!E484+[2]OTCHET!E485+[2]OTCHET!E488+[2]OTCHET!E489+[2]OTCHET!E492+[2]OTCHET!E493+[2]OTCHET!E494+[2]OTCHET!E496</f>
        <v>0</v>
      </c>
      <c r="F70" s="375">
        <f t="shared" si="1"/>
        <v>0</v>
      </c>
      <c r="G70" s="376">
        <f>+[2]OTCHET!G484+[2]OTCHET!G485+[2]OTCHET!G488+[2]OTCHET!G489+[2]OTCHET!G492+[2]OTCHET!G493+[2]OTCHET!G494+[2]OTCHET!G496</f>
        <v>0</v>
      </c>
      <c r="H70" s="377">
        <f>+[2]OTCHET!H484+[2]OTCHET!H485+[2]OTCHET!H488+[2]OTCHET!H489+[2]OTCHET!H492+[2]OTCHET!H493+[2]OTCHET!H494+[2]OTCHET!H496</f>
        <v>0</v>
      </c>
      <c r="I70" s="377">
        <f>+[2]OTCHET!I484+[2]OTCHET!I485+[2]OTCHET!I488+[2]OTCHET!I489+[2]OTCHET!I492+[2]OTCHET!I493+[2]OTCHET!I494+[2]OTCHET!I496</f>
        <v>0</v>
      </c>
      <c r="J70" s="378">
        <f>+[2]OTCHET!J484+[2]OTCHET!J485+[2]OTCHET!J488+[2]OTCHET!J489+[2]OTCHET!J492+[2]OTCHET!J493+[2]OTCHET!J494+[2]OTCHET!J496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+[2]OTCHET!E497</f>
        <v>0</v>
      </c>
      <c r="F71" s="375">
        <f t="shared" si="1"/>
        <v>0</v>
      </c>
      <c r="G71" s="376">
        <f>+[2]OTCHET!G497</f>
        <v>0</v>
      </c>
      <c r="H71" s="377">
        <f>+[2]OTCHET!H497</f>
        <v>0</v>
      </c>
      <c r="I71" s="377">
        <f>+[2]OTCHET!I497</f>
        <v>0</v>
      </c>
      <c r="J71" s="378">
        <f>+[2]OTCHET!J497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+[2]OTCHET!E502</f>
        <v>0</v>
      </c>
      <c r="F72" s="375">
        <f t="shared" si="1"/>
        <v>0</v>
      </c>
      <c r="G72" s="376">
        <f>+[2]OTCHET!G502</f>
        <v>0</v>
      </c>
      <c r="H72" s="377">
        <f>+[2]OTCHET!H502</f>
        <v>0</v>
      </c>
      <c r="I72" s="377">
        <f>+[2]OTCHET!I502</f>
        <v>0</v>
      </c>
      <c r="J72" s="378">
        <f>+[2]OTCHET!J502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+[2]OTCHET!E542</f>
        <v>0</v>
      </c>
      <c r="F73" s="375">
        <f t="shared" si="1"/>
        <v>0</v>
      </c>
      <c r="G73" s="376">
        <f>+[2]OTCHET!G542</f>
        <v>0</v>
      </c>
      <c r="H73" s="377">
        <f>+[2]OTCHET!H542</f>
        <v>0</v>
      </c>
      <c r="I73" s="377">
        <f>+[2]OTCHET!I542</f>
        <v>0</v>
      </c>
      <c r="J73" s="378">
        <f>+[2]OTCHET!J542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+[2]OTCHET!E581+[2]OTCHET!E582</f>
        <v>0</v>
      </c>
      <c r="F74" s="375">
        <f t="shared" si="1"/>
        <v>0</v>
      </c>
      <c r="G74" s="376">
        <f>+[2]OTCHET!G581+[2]OTCHET!G582</f>
        <v>0</v>
      </c>
      <c r="H74" s="377">
        <f>+[2]OTCHET!H581+[2]OTCHET!H582</f>
        <v>0</v>
      </c>
      <c r="I74" s="377">
        <f>+[2]OTCHET!I581+[2]OTCHET!I582</f>
        <v>0</v>
      </c>
      <c r="J74" s="378">
        <f>+[2]OTCHET!J581+[2]OTCHET!J582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+[2]OTCHET!E583+[2]OTCHET!E584+[2]OTCHET!E585</f>
        <v>0</v>
      </c>
      <c r="F75" s="382">
        <f t="shared" si="1"/>
        <v>0</v>
      </c>
      <c r="G75" s="383">
        <f>+[2]OTCHET!G583+[2]OTCHET!G584+[2]OTCHET!G585</f>
        <v>0</v>
      </c>
      <c r="H75" s="384">
        <f>+[2]OTCHET!H583+[2]OTCHET!H584+[2]OTCHET!H585</f>
        <v>0</v>
      </c>
      <c r="I75" s="384">
        <f>+[2]OTCHET!I583+[2]OTCHET!I584+[2]OTCHET!I585</f>
        <v>0</v>
      </c>
      <c r="J75" s="385">
        <f>+[2]OTCHET!J583+[2]OTCHET!J584+[2]OTCHET!J585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[2]OTCHET!E461</f>
        <v>0</v>
      </c>
      <c r="F76" s="299">
        <f t="shared" si="1"/>
        <v>0</v>
      </c>
      <c r="G76" s="300">
        <f>[2]OTCHET!G461</f>
        <v>0</v>
      </c>
      <c r="H76" s="301">
        <f>[2]OTCHET!H461</f>
        <v>0</v>
      </c>
      <c r="I76" s="301">
        <f>[2]OTCHET!I461</f>
        <v>0</v>
      </c>
      <c r="J76" s="302">
        <f>[2]OTCHET!J461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+[2]OTCHET!E466+[2]OTCHET!E469</f>
        <v>0</v>
      </c>
      <c r="F78" s="367">
        <f t="shared" si="1"/>
        <v>0</v>
      </c>
      <c r="G78" s="368">
        <f>+[2]OTCHET!G466+[2]OTCHET!G469</f>
        <v>0</v>
      </c>
      <c r="H78" s="369">
        <f>+[2]OTCHET!H466+[2]OTCHET!H469</f>
        <v>0</v>
      </c>
      <c r="I78" s="369">
        <f>+[2]OTCHET!I466+[2]OTCHET!I469</f>
        <v>0</v>
      </c>
      <c r="J78" s="370">
        <f>+[2]OTCHET!J466+[2]OTCHET!J469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+[2]OTCHET!E467+[2]OTCHET!E470</f>
        <v>0</v>
      </c>
      <c r="F79" s="375">
        <f t="shared" si="1"/>
        <v>0</v>
      </c>
      <c r="G79" s="376">
        <f>+[2]OTCHET!G467+[2]OTCHET!G470</f>
        <v>0</v>
      </c>
      <c r="H79" s="377">
        <f>+[2]OTCHET!H467+[2]OTCHET!H470</f>
        <v>0</v>
      </c>
      <c r="I79" s="377">
        <f>+[2]OTCHET!I467+[2]OTCHET!I470</f>
        <v>0</v>
      </c>
      <c r="J79" s="378">
        <f>+[2]OTCHET!J467+[2]OTCHET!J470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[2]OTCHET!E471</f>
        <v>0</v>
      </c>
      <c r="F80" s="375">
        <f t="shared" si="1"/>
        <v>0</v>
      </c>
      <c r="G80" s="376">
        <f>[2]OTCHET!G471</f>
        <v>0</v>
      </c>
      <c r="H80" s="377">
        <f>[2]OTCHET!H471</f>
        <v>0</v>
      </c>
      <c r="I80" s="377">
        <f>[2]OTCHET!I471</f>
        <v>0</v>
      </c>
      <c r="J80" s="378">
        <f>[2]OTCHET!J471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+[2]OTCHET!E479</f>
        <v>0</v>
      </c>
      <c r="F82" s="375">
        <f t="shared" si="1"/>
        <v>0</v>
      </c>
      <c r="G82" s="376">
        <f>+[2]OTCHET!G479</f>
        <v>0</v>
      </c>
      <c r="H82" s="377">
        <f>+[2]OTCHET!H479</f>
        <v>0</v>
      </c>
      <c r="I82" s="377">
        <f>+[2]OTCHET!I479</f>
        <v>0</v>
      </c>
      <c r="J82" s="378">
        <f>+[2]OTCHET!J479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+[2]OTCHET!E480</f>
        <v>0</v>
      </c>
      <c r="F83" s="382">
        <f t="shared" si="1"/>
        <v>0</v>
      </c>
      <c r="G83" s="383">
        <f>+[2]OTCHET!G480</f>
        <v>0</v>
      </c>
      <c r="H83" s="384">
        <f>+[2]OTCHET!H480</f>
        <v>0</v>
      </c>
      <c r="I83" s="384">
        <f>+[2]OTCHET!I480</f>
        <v>0</v>
      </c>
      <c r="J83" s="385">
        <f>+[2]OTCHET!J480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[2]OTCHET!E535</f>
        <v>0</v>
      </c>
      <c r="F84" s="299">
        <f t="shared" si="1"/>
        <v>0</v>
      </c>
      <c r="G84" s="300">
        <f>[2]OTCHET!G535</f>
        <v>0</v>
      </c>
      <c r="H84" s="301">
        <f>[2]OTCHET!H535</f>
        <v>0</v>
      </c>
      <c r="I84" s="301">
        <f>[2]OTCHET!I535</f>
        <v>0</v>
      </c>
      <c r="J84" s="302">
        <f>[2]OTCHET!J535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[2]OTCHET!E536</f>
        <v>0</v>
      </c>
      <c r="F85" s="304">
        <f t="shared" si="1"/>
        <v>0</v>
      </c>
      <c r="G85" s="305">
        <f>[2]OTCHET!G536</f>
        <v>0</v>
      </c>
      <c r="H85" s="306">
        <f>[2]OTCHET!H536</f>
        <v>0</v>
      </c>
      <c r="I85" s="306">
        <f>[2]OTCHET!I536</f>
        <v>0</v>
      </c>
      <c r="J85" s="307">
        <f>[2]OTCHET!J536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9978</v>
      </c>
      <c r="G86" s="310">
        <f t="shared" ref="G86:M86" si="11">+G87+G88</f>
        <v>9578</v>
      </c>
      <c r="H86" s="311">
        <f>+H87+H88</f>
        <v>0</v>
      </c>
      <c r="I86" s="311">
        <f>+I87+I88</f>
        <v>0</v>
      </c>
      <c r="J86" s="312">
        <f>+J87+J88</f>
        <v>400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+[2]OTCHET!E503+[2]OTCHET!E512+[2]OTCHET!E516+[2]OTCHET!E543</f>
        <v>0</v>
      </c>
      <c r="F87" s="367">
        <f t="shared" si="1"/>
        <v>0</v>
      </c>
      <c r="G87" s="368">
        <f>+[2]OTCHET!G503+[2]OTCHET!G512+[2]OTCHET!G516+[2]OTCHET!G543</f>
        <v>0</v>
      </c>
      <c r="H87" s="369">
        <f>+[2]OTCHET!H503+[2]OTCHET!H512+[2]OTCHET!H516+[2]OTCHET!H543</f>
        <v>0</v>
      </c>
      <c r="I87" s="369">
        <f>+[2]OTCHET!I503+[2]OTCHET!I512+[2]OTCHET!I516+[2]OTCHET!I543</f>
        <v>0</v>
      </c>
      <c r="J87" s="370">
        <f>+[2]OTCHET!J503+[2]OTCHET!J512+[2]OTCHET!J516+[2]OTCHET!J543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+[2]OTCHET!E521+[2]OTCHET!E524+[2]OTCHET!E544</f>
        <v>0</v>
      </c>
      <c r="F88" s="382">
        <f t="shared" si="1"/>
        <v>9978</v>
      </c>
      <c r="G88" s="383">
        <f>+[2]OTCHET!G521+[2]OTCHET!G524+[2]OTCHET!G544</f>
        <v>9578</v>
      </c>
      <c r="H88" s="384">
        <f>+[2]OTCHET!H521+[2]OTCHET!H524+[2]OTCHET!H544</f>
        <v>0</v>
      </c>
      <c r="I88" s="384">
        <f>+[2]OTCHET!I521+[2]OTCHET!I524+[2]OTCHET!I544</f>
        <v>0</v>
      </c>
      <c r="J88" s="385">
        <f>+[2]OTCHET!J521+[2]OTCHET!J524+[2]OTCHET!J544</f>
        <v>400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[2]OTCHET!E531</f>
        <v>0</v>
      </c>
      <c r="F89" s="299">
        <f t="shared" ref="F89:F96" si="12">+G89+H89+I89+J89</f>
        <v>0</v>
      </c>
      <c r="G89" s="300">
        <f>[2]OTCHET!G531</f>
        <v>0</v>
      </c>
      <c r="H89" s="301">
        <f>[2]OTCHET!H531</f>
        <v>0</v>
      </c>
      <c r="I89" s="301">
        <f>[2]OTCHET!I531</f>
        <v>0</v>
      </c>
      <c r="J89" s="302">
        <f>[2]OTCHET!J531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+[2]OTCHET!E567+[2]OTCHET!E568+[2]OTCHET!E569+[2]OTCHET!E570+[2]OTCHET!E571+[2]OTCHET!E572</f>
        <v>0</v>
      </c>
      <c r="F90" s="304">
        <f t="shared" si="12"/>
        <v>0</v>
      </c>
      <c r="G90" s="305">
        <f>+[2]OTCHET!G567+[2]OTCHET!G568+[2]OTCHET!G569+[2]OTCHET!G570+[2]OTCHET!G571+[2]OTCHET!G572</f>
        <v>0</v>
      </c>
      <c r="H90" s="306">
        <f>+[2]OTCHET!H567+[2]OTCHET!H568+[2]OTCHET!H569+[2]OTCHET!H570+[2]OTCHET!H571+[2]OTCHET!H572</f>
        <v>0</v>
      </c>
      <c r="I90" s="306">
        <f>+[2]OTCHET!I567+[2]OTCHET!I568+[2]OTCHET!I569+[2]OTCHET!I570+[2]OTCHET!I571+[2]OTCHET!I572</f>
        <v>0</v>
      </c>
      <c r="J90" s="307">
        <f>+[2]OTCHET!J567+[2]OTCHET!J568+[2]OTCHET!J569+[2]OTCHET!J570+[2]OTCHET!J571+[2]OTCHET!J572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+[2]OTCHET!E573+[2]OTCHET!E574+[2]OTCHET!E575+[2]OTCHET!E576+[2]OTCHET!E577+[2]OTCHET!E578+[2]OTCHET!E579</f>
        <v>0</v>
      </c>
      <c r="F91" s="168">
        <f t="shared" si="12"/>
        <v>-99</v>
      </c>
      <c r="G91" s="169">
        <f>+[2]OTCHET!G573+[2]OTCHET!G574+[2]OTCHET!G575+[2]OTCHET!G576+[2]OTCHET!G577+[2]OTCHET!G578+[2]OTCHET!G579</f>
        <v>0</v>
      </c>
      <c r="H91" s="170">
        <f>+[2]OTCHET!H573+[2]OTCHET!H574+[2]OTCHET!H575+[2]OTCHET!H576+[2]OTCHET!H577+[2]OTCHET!H578+[2]OTCHET!H579</f>
        <v>0</v>
      </c>
      <c r="I91" s="170">
        <f>+[2]OTCHET!I573+[2]OTCHET!I574+[2]OTCHET!I575+[2]OTCHET!I576+[2]OTCHET!I577+[2]OTCHET!I578+[2]OTCHET!I579</f>
        <v>-99</v>
      </c>
      <c r="J91" s="171">
        <f>+[2]OTCHET!J573+[2]OTCHET!J574+[2]OTCHET!J575+[2]OTCHET!J576+[2]OTCHET!J577+[2]OTCHET!J578+[2]OTCHET!J579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+[2]OTCHET!E580</f>
        <v>0</v>
      </c>
      <c r="F92" s="168">
        <f t="shared" si="12"/>
        <v>0</v>
      </c>
      <c r="G92" s="169">
        <f>+[2]OTCHET!G580</f>
        <v>0</v>
      </c>
      <c r="H92" s="170">
        <f>+[2]OTCHET!H580</f>
        <v>0</v>
      </c>
      <c r="I92" s="170">
        <f>+[2]OTCHET!I580</f>
        <v>0</v>
      </c>
      <c r="J92" s="171">
        <f>+[2]OTCHET!J580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+[2]OTCHET!E587+[2]OTCHET!E588</f>
        <v>0</v>
      </c>
      <c r="F93" s="168">
        <f t="shared" si="12"/>
        <v>0</v>
      </c>
      <c r="G93" s="169">
        <f>+[2]OTCHET!G587+[2]OTCHET!G588</f>
        <v>0</v>
      </c>
      <c r="H93" s="170">
        <f>+[2]OTCHET!H587+[2]OTCHET!H588</f>
        <v>0</v>
      </c>
      <c r="I93" s="170">
        <f>+[2]OTCHET!I587+[2]OTCHET!I588</f>
        <v>0</v>
      </c>
      <c r="J93" s="171">
        <f>+[2]OTCHET!J587+[2]OTCHET!J588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+[2]OTCHET!E589+[2]OTCHET!E590</f>
        <v>0</v>
      </c>
      <c r="F94" s="168">
        <f t="shared" si="12"/>
        <v>0</v>
      </c>
      <c r="G94" s="169">
        <f>+[2]OTCHET!G589+[2]OTCHET!G590</f>
        <v>0</v>
      </c>
      <c r="H94" s="170">
        <f>+[2]OTCHET!H589+[2]OTCHET!H590</f>
        <v>0</v>
      </c>
      <c r="I94" s="170">
        <f>+[2]OTCHET!I589+[2]OTCHET!I590</f>
        <v>0</v>
      </c>
      <c r="J94" s="171">
        <f>+[2]OTCHET!J589+[2]OTCHET!J590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[2]OTCHET!E591</f>
        <v>0</v>
      </c>
      <c r="F95" s="120">
        <f t="shared" si="12"/>
        <v>0</v>
      </c>
      <c r="G95" s="121">
        <f>[2]OTCHET!G591</f>
        <v>-1300</v>
      </c>
      <c r="H95" s="122">
        <f>[2]OTCHET!H591</f>
        <v>0</v>
      </c>
      <c r="I95" s="122">
        <f>[2]OTCHET!I591</f>
        <v>1300</v>
      </c>
      <c r="J95" s="123">
        <f>[2]OTCHET!J591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+[2]OTCHET!E594</f>
        <v>0</v>
      </c>
      <c r="F96" s="396">
        <f t="shared" si="12"/>
        <v>0</v>
      </c>
      <c r="G96" s="397">
        <f>+[2]OTCHET!G594</f>
        <v>0</v>
      </c>
      <c r="H96" s="398">
        <f>+[2]OTCHET!H594</f>
        <v>0</v>
      </c>
      <c r="I96" s="398">
        <f>+[2]OTCHET!I594</f>
        <v>0</v>
      </c>
      <c r="J96" s="399">
        <f>+[2]OTCHET!J594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+[2]OTCHET!H605</f>
        <v>0</v>
      </c>
      <c r="C107" s="421"/>
      <c r="D107" s="421"/>
      <c r="E107" s="426"/>
      <c r="F107" s="19"/>
      <c r="G107" s="427">
        <f>+[2]OTCHET!E605</f>
        <v>0</v>
      </c>
      <c r="H107" s="427">
        <f>+[2]OTCHET!F605</f>
        <v>0</v>
      </c>
      <c r="I107" s="428"/>
      <c r="J107" s="429" t="str">
        <f>+[2]OTCHET!B605</f>
        <v>28.02.2023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30" priority="21" stopIfTrue="1" operator="notEqual">
      <formula>0</formula>
    </cfRule>
  </conditionalFormatting>
  <conditionalFormatting sqref="E105:J105">
    <cfRule type="cellIs" dxfId="229" priority="20" stopIfTrue="1" operator="notEqual">
      <formula>0</formula>
    </cfRule>
  </conditionalFormatting>
  <conditionalFormatting sqref="G107:H107 B107">
    <cfRule type="cellIs" dxfId="228" priority="19" stopIfTrue="1" operator="equal">
      <formula>0</formula>
    </cfRule>
  </conditionalFormatting>
  <conditionalFormatting sqref="I114 E110">
    <cfRule type="cellIs" dxfId="227" priority="18" stopIfTrue="1" operator="equal">
      <formula>0</formula>
    </cfRule>
  </conditionalFormatting>
  <conditionalFormatting sqref="J107">
    <cfRule type="cellIs" dxfId="226" priority="17" stopIfTrue="1" operator="equal">
      <formula>0</formula>
    </cfRule>
  </conditionalFormatting>
  <conditionalFormatting sqref="E114:F114">
    <cfRule type="cellIs" dxfId="225" priority="16" stopIfTrue="1" operator="equal">
      <formula>0</formula>
    </cfRule>
  </conditionalFormatting>
  <conditionalFormatting sqref="F15">
    <cfRule type="cellIs" dxfId="224" priority="11" stopIfTrue="1" operator="equal">
      <formula>"Чужди средства"</formula>
    </cfRule>
    <cfRule type="cellIs" dxfId="223" priority="12" stopIfTrue="1" operator="equal">
      <formula>"СЕС - ДМП"</formula>
    </cfRule>
    <cfRule type="cellIs" dxfId="222" priority="13" stopIfTrue="1" operator="equal">
      <formula>"СЕС - РА"</formula>
    </cfRule>
    <cfRule type="cellIs" dxfId="221" priority="14" stopIfTrue="1" operator="equal">
      <formula>"СЕС - ДЕС"</formula>
    </cfRule>
    <cfRule type="cellIs" dxfId="220" priority="15" stopIfTrue="1" operator="equal">
      <formula>"СЕС - КСФ"</formula>
    </cfRule>
  </conditionalFormatting>
  <conditionalFormatting sqref="B105">
    <cfRule type="cellIs" dxfId="219" priority="10" stopIfTrue="1" operator="notEqual">
      <formula>0</formula>
    </cfRule>
  </conditionalFormatting>
  <conditionalFormatting sqref="I11:J11">
    <cfRule type="cellIs" dxfId="218" priority="6" stopIfTrue="1" operator="between">
      <formula>1000000000000</formula>
      <formula>9999999999999990</formula>
    </cfRule>
    <cfRule type="cellIs" dxfId="217" priority="7" stopIfTrue="1" operator="between">
      <formula>10000000000</formula>
      <formula>999999999999</formula>
    </cfRule>
    <cfRule type="cellIs" dxfId="216" priority="8" stopIfTrue="1" operator="between">
      <formula>1000000</formula>
      <formula>99999999</formula>
    </cfRule>
    <cfRule type="cellIs" dxfId="215" priority="9" stopIfTrue="1" operator="between">
      <formula>100</formula>
      <formula>9999</formula>
    </cfRule>
  </conditionalFormatting>
  <conditionalFormatting sqref="E15">
    <cfRule type="cellIs" dxfId="214" priority="1" stopIfTrue="1" operator="equal">
      <formula>"Чужди средства"</formula>
    </cfRule>
    <cfRule type="cellIs" dxfId="213" priority="2" stopIfTrue="1" operator="equal">
      <formula>"СЕС - ДМП"</formula>
    </cfRule>
    <cfRule type="cellIs" dxfId="212" priority="3" stopIfTrue="1" operator="equal">
      <formula>"СЕС - РА"</formula>
    </cfRule>
    <cfRule type="cellIs" dxfId="211" priority="4" stopIfTrue="1" operator="equal">
      <formula>"СЕС - ДЕС"</formula>
    </cfRule>
    <cfRule type="cellIs" dxfId="21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8"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+[3]OTCHET!B9</f>
        <v>РИОСВ - ПЛОВДИВ</v>
      </c>
      <c r="C11" s="22"/>
      <c r="D11" s="22"/>
      <c r="E11" s="23" t="s">
        <v>0</v>
      </c>
      <c r="F11" s="24">
        <f>[3]OTCHET!F9</f>
        <v>45016</v>
      </c>
      <c r="G11" s="25" t="s">
        <v>1</v>
      </c>
      <c r="H11" s="26">
        <f>+[3]OTCHET!H9</f>
        <v>471013</v>
      </c>
      <c r="I11" s="448">
        <f>+[3]OTCHET!I9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+[3]OTCHET!B12</f>
        <v>Министерство на околната среда и водите</v>
      </c>
      <c r="C13" s="31"/>
      <c r="D13" s="31"/>
      <c r="E13" s="35" t="str">
        <f>+[3]OTCHET!E12</f>
        <v>код по ЕБК:</v>
      </c>
      <c r="F13" s="36" t="str">
        <f>+[3]OTCHET!F12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+[3]OTCHET!E15</f>
        <v>0</v>
      </c>
      <c r="F15" s="41" t="str">
        <f>[3]OTCHET!F15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44727</v>
      </c>
      <c r="G22" s="103">
        <f t="shared" si="0"/>
        <v>45327</v>
      </c>
      <c r="H22" s="104">
        <f t="shared" si="0"/>
        <v>0</v>
      </c>
      <c r="I22" s="104">
        <f t="shared" si="0"/>
        <v>0</v>
      </c>
      <c r="J22" s="105">
        <f t="shared" si="0"/>
        <v>-600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[3]OTCHET!E22+[3]OTCHET!E28+[3]OTCHET!E33+[3]OTCHET!E39+[3]OTCHET!E47+[3]OTCHET!E52+[3]OTCHET!E58+[3]OTCHET!E61+[3]OTCHET!E64+[3]OTCHET!E65+[3]OTCHET!E72+[3]OTCHET!E73</f>
        <v>0</v>
      </c>
      <c r="F23" s="111">
        <f t="shared" ref="F23:F88" si="1">+G23+H23+I23+J23</f>
        <v>0</v>
      </c>
      <c r="G23" s="112">
        <f>[3]OTCHET!G22+[3]OTCHET!G28+[3]OTCHET!G33+[3]OTCHET!G39+[3]OTCHET!G47+[3]OTCHET!G52+[3]OTCHET!G58+[3]OTCHET!G61+[3]OTCHET!G64+[3]OTCHET!G65+[3]OTCHET!G72+[3]OTCHET!G73</f>
        <v>0</v>
      </c>
      <c r="H23" s="113">
        <f>[3]OTCHET!H22+[3]OTCHET!H28+[3]OTCHET!H33+[3]OTCHET!H39+[3]OTCHET!H47+[3]OTCHET!H52+[3]OTCHET!H58+[3]OTCHET!H61+[3]OTCHET!H64+[3]OTCHET!H65+[3]OTCHET!H72+[3]OTCHET!H73</f>
        <v>0</v>
      </c>
      <c r="I23" s="113">
        <f>[3]OTCHET!I22+[3]OTCHET!I28+[3]OTCHET!I33+[3]OTCHET!I39+[3]OTCHET!I47+[3]OTCHET!I52+[3]OTCHET!I58+[3]OTCHET!I61+[3]OTCHET!I64+[3]OTCHET!I65+[3]OTCHET!I72+[3]OTCHET!I73</f>
        <v>0</v>
      </c>
      <c r="J23" s="114">
        <f>[3]OTCHET!J22+[3]OTCHET!J28+[3]OTCHET!J33+[3]OTCHET!J39+[3]OTCHET!J47+[3]OTCHET!J52+[3]OTCHET!J58+[3]OTCHET!J61+[3]OTCHET!J64+[3]OTCHET!J65+[3]OTCHET!J72+[3]OTCHET!J73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44727</v>
      </c>
      <c r="G25" s="128">
        <f t="shared" ref="G25:M25" si="2">+G26+G30+G31+G32+G33</f>
        <v>45327</v>
      </c>
      <c r="H25" s="129">
        <f>+H26+H30+H31+H32+H33</f>
        <v>0</v>
      </c>
      <c r="I25" s="129">
        <f>+I26+I30+I31+I32+I33</f>
        <v>0</v>
      </c>
      <c r="J25" s="130">
        <f>+J26+J30+J31+J32+J33</f>
        <v>-600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[3]OTCHET!E74</f>
        <v>0</v>
      </c>
      <c r="F26" s="133">
        <f t="shared" si="1"/>
        <v>0</v>
      </c>
      <c r="G26" s="134">
        <f>[3]OTCHET!G74</f>
        <v>0</v>
      </c>
      <c r="H26" s="135">
        <f>[3]OTCHET!H74</f>
        <v>0</v>
      </c>
      <c r="I26" s="135">
        <f>[3]OTCHET!I74</f>
        <v>0</v>
      </c>
      <c r="J26" s="136">
        <f>[3]OTCHET!J74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[3]OTCHET!E75</f>
        <v>0</v>
      </c>
      <c r="F27" s="140">
        <f t="shared" si="1"/>
        <v>0</v>
      </c>
      <c r="G27" s="141">
        <f>[3]OTCHET!G75</f>
        <v>0</v>
      </c>
      <c r="H27" s="142">
        <f>[3]OTCHET!H75</f>
        <v>0</v>
      </c>
      <c r="I27" s="142">
        <f>[3]OTCHET!I75</f>
        <v>0</v>
      </c>
      <c r="J27" s="143">
        <f>[3]OTCHET!J75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[3]OTCHET!E77</f>
        <v>0</v>
      </c>
      <c r="F28" s="148">
        <f t="shared" si="1"/>
        <v>0</v>
      </c>
      <c r="G28" s="149">
        <f>[3]OTCHET!G77</f>
        <v>0</v>
      </c>
      <c r="H28" s="150">
        <f>[3]OTCHET!H77</f>
        <v>0</v>
      </c>
      <c r="I28" s="150">
        <f>[3]OTCHET!I77</f>
        <v>0</v>
      </c>
      <c r="J28" s="151">
        <f>[3]OTCHET!J77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+[3]OTCHET!E78+[3]OTCHET!E79</f>
        <v>0</v>
      </c>
      <c r="F29" s="156">
        <f t="shared" si="1"/>
        <v>0</v>
      </c>
      <c r="G29" s="157">
        <f>+[3]OTCHET!G78+[3]OTCHET!G79</f>
        <v>0</v>
      </c>
      <c r="H29" s="158">
        <f>+[3]OTCHET!H78+[3]OTCHET!H79</f>
        <v>0</v>
      </c>
      <c r="I29" s="158">
        <f>+[3]OTCHET!I78+[3]OTCHET!I79</f>
        <v>0</v>
      </c>
      <c r="J29" s="159">
        <f>+[3]OTCHET!J78+[3]OTCHET!J79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[3]OTCHET!E90+[3]OTCHET!E93+[3]OTCHET!E94</f>
        <v>0</v>
      </c>
      <c r="F30" s="162">
        <f t="shared" si="1"/>
        <v>40224</v>
      </c>
      <c r="G30" s="163">
        <f>[3]OTCHET!G90+[3]OTCHET!G93+[3]OTCHET!G94</f>
        <v>40224</v>
      </c>
      <c r="H30" s="164">
        <f>[3]OTCHET!H90+[3]OTCHET!H93+[3]OTCHET!H94</f>
        <v>0</v>
      </c>
      <c r="I30" s="164">
        <f>[3]OTCHET!I90+[3]OTCHET!I93+[3]OTCHET!I94</f>
        <v>0</v>
      </c>
      <c r="J30" s="165">
        <f>[3]OTCHET!J90+[3]OTCHET!J93+[3]OTCHET!J94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[3]OTCHET!E106</f>
        <v>0</v>
      </c>
      <c r="F31" s="168">
        <f t="shared" si="1"/>
        <v>4543</v>
      </c>
      <c r="G31" s="169">
        <f>[3]OTCHET!G106</f>
        <v>4543</v>
      </c>
      <c r="H31" s="170">
        <f>[3]OTCHET!H106</f>
        <v>0</v>
      </c>
      <c r="I31" s="170">
        <f>[3]OTCHET!I106</f>
        <v>0</v>
      </c>
      <c r="J31" s="171">
        <f>[3]OTCHET!J106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[3]OTCHET!E110+[3]OTCHET!E119+[3]OTCHET!E135+[3]OTCHET!E136</f>
        <v>0</v>
      </c>
      <c r="F32" s="168">
        <f t="shared" si="1"/>
        <v>-40</v>
      </c>
      <c r="G32" s="169">
        <f>[3]OTCHET!G110+[3]OTCHET!G119+[3]OTCHET!G135+[3]OTCHET!G136</f>
        <v>560</v>
      </c>
      <c r="H32" s="170">
        <f>[3]OTCHET!H110+[3]OTCHET!H119+[3]OTCHET!H135+[3]OTCHET!H136</f>
        <v>0</v>
      </c>
      <c r="I32" s="170">
        <f>[3]OTCHET!I110+[3]OTCHET!I119+[3]OTCHET!I135+[3]OTCHET!I136</f>
        <v>0</v>
      </c>
      <c r="J32" s="171">
        <f>[3]OTCHET!J110+[3]OTCHET!J119+[3]OTCHET!J135+[3]OTCHET!J136</f>
        <v>-600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[3]OTCHET!E123</f>
        <v>0</v>
      </c>
      <c r="F33" s="120">
        <f t="shared" si="1"/>
        <v>0</v>
      </c>
      <c r="G33" s="121">
        <f>[3]OTCHET!G123</f>
        <v>0</v>
      </c>
      <c r="H33" s="122">
        <f>[3]OTCHET!H123</f>
        <v>0</v>
      </c>
      <c r="I33" s="122">
        <f>[3]OTCHET!I123</f>
        <v>0</v>
      </c>
      <c r="J33" s="123">
        <f>[3]OTCHET!J123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+[3]OTCHET!E137</f>
        <v>0</v>
      </c>
      <c r="F36" s="191">
        <f t="shared" si="1"/>
        <v>0</v>
      </c>
      <c r="G36" s="192">
        <f>+[3]OTCHET!G137</f>
        <v>0</v>
      </c>
      <c r="H36" s="193">
        <f>+[3]OTCHET!H137</f>
        <v>0</v>
      </c>
      <c r="I36" s="193">
        <f>+[3]OTCHET!I137</f>
        <v>0</v>
      </c>
      <c r="J36" s="194">
        <f>+[3]OTCHET!J137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[3]OTCHET!E140+[3]OTCHET!E149+[3]OTCHET!E158</f>
        <v>0</v>
      </c>
      <c r="F37" s="199">
        <f t="shared" si="1"/>
        <v>0</v>
      </c>
      <c r="G37" s="200">
        <f>[3]OTCHET!G140+[3]OTCHET!G149+[3]OTCHET!G158</f>
        <v>0</v>
      </c>
      <c r="H37" s="201">
        <f>[3]OTCHET!H140+[3]OTCHET!H149+[3]OTCHET!H158</f>
        <v>0</v>
      </c>
      <c r="I37" s="201">
        <f>[3]OTCHET!I140+[3]OTCHET!I149+[3]OTCHET!I158</f>
        <v>0</v>
      </c>
      <c r="J37" s="202">
        <f>[3]OTCHET!J140+[3]OTCHET!J149+[3]OTCHET!J158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299342</v>
      </c>
      <c r="G38" s="210">
        <f t="shared" si="3"/>
        <v>218584</v>
      </c>
      <c r="H38" s="211">
        <f t="shared" si="3"/>
        <v>0</v>
      </c>
      <c r="I38" s="211">
        <f t="shared" si="3"/>
        <v>1378</v>
      </c>
      <c r="J38" s="212">
        <f t="shared" si="3"/>
        <v>79380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270807</v>
      </c>
      <c r="G39" s="222">
        <f t="shared" si="4"/>
        <v>191427</v>
      </c>
      <c r="H39" s="223">
        <f t="shared" si="4"/>
        <v>0</v>
      </c>
      <c r="I39" s="223">
        <f t="shared" si="4"/>
        <v>0</v>
      </c>
      <c r="J39" s="224">
        <f t="shared" si="4"/>
        <v>79380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[3]OTCHET!E187</f>
        <v>0</v>
      </c>
      <c r="F40" s="229">
        <f t="shared" si="1"/>
        <v>177611</v>
      </c>
      <c r="G40" s="230">
        <f>[3]OTCHET!G187</f>
        <v>157233</v>
      </c>
      <c r="H40" s="231">
        <f>[3]OTCHET!H187</f>
        <v>0</v>
      </c>
      <c r="I40" s="231">
        <f>[3]OTCHET!I187</f>
        <v>0</v>
      </c>
      <c r="J40" s="232">
        <f>[3]OTCHET!J187</f>
        <v>20378</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[3]OTCHET!E190</f>
        <v>0</v>
      </c>
      <c r="F41" s="237">
        <f t="shared" si="1"/>
        <v>36085</v>
      </c>
      <c r="G41" s="238">
        <f>[3]OTCHET!G190</f>
        <v>34194</v>
      </c>
      <c r="H41" s="239">
        <f>[3]OTCHET!H190</f>
        <v>0</v>
      </c>
      <c r="I41" s="239">
        <f>[3]OTCHET!I190</f>
        <v>0</v>
      </c>
      <c r="J41" s="240">
        <f>[3]OTCHET!J190</f>
        <v>1891</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+[3]OTCHET!E196+[3]OTCHET!E204</f>
        <v>0</v>
      </c>
      <c r="F42" s="244">
        <f t="shared" si="1"/>
        <v>57111</v>
      </c>
      <c r="G42" s="245">
        <f>+[3]OTCHET!G196+[3]OTCHET!G204</f>
        <v>0</v>
      </c>
      <c r="H42" s="246">
        <f>+[3]OTCHET!H196+[3]OTCHET!H204</f>
        <v>0</v>
      </c>
      <c r="I42" s="246">
        <f>+[3]OTCHET!I196+[3]OTCHET!I204</f>
        <v>0</v>
      </c>
      <c r="J42" s="247">
        <f>+[3]OTCHET!J196+[3]OTCHET!J204</f>
        <v>57111</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+[3]OTCHET!E205+[3]OTCHET!E223+[3]OTCHET!E271</f>
        <v>0</v>
      </c>
      <c r="F43" s="250">
        <f t="shared" si="1"/>
        <v>28535</v>
      </c>
      <c r="G43" s="251">
        <f>+[3]OTCHET!G205+[3]OTCHET!G223+[3]OTCHET!G271</f>
        <v>27157</v>
      </c>
      <c r="H43" s="252">
        <f>+[3]OTCHET!H205+[3]OTCHET!H223+[3]OTCHET!H271</f>
        <v>0</v>
      </c>
      <c r="I43" s="252">
        <f>+[3]OTCHET!I205+[3]OTCHET!I223+[3]OTCHET!I271</f>
        <v>1378</v>
      </c>
      <c r="J43" s="253">
        <f>+[3]OTCHET!J205+[3]OTCHET!J223+[3]OTCHET!J271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+[3]OTCHET!E227+[3]OTCHET!E233+[3]OTCHET!E236+[3]OTCHET!E237+[3]OTCHET!E238+[3]OTCHET!E239+[3]OTCHET!E240</f>
        <v>0</v>
      </c>
      <c r="F44" s="120">
        <f t="shared" si="1"/>
        <v>0</v>
      </c>
      <c r="G44" s="121">
        <f>+[3]OTCHET!G227+[3]OTCHET!G233+[3]OTCHET!G236+[3]OTCHET!G237+[3]OTCHET!G238+[3]OTCHET!G239+[3]OTCHET!G240</f>
        <v>0</v>
      </c>
      <c r="H44" s="122">
        <f>+[3]OTCHET!H227+[3]OTCHET!H233+[3]OTCHET!H236+[3]OTCHET!H237+[3]OTCHET!H238+[3]OTCHET!H239+[3]OTCHET!H240</f>
        <v>0</v>
      </c>
      <c r="I44" s="122">
        <f>+[3]OTCHET!I227+[3]OTCHET!I233+[3]OTCHET!I236+[3]OTCHET!I237+[3]OTCHET!I238+[3]OTCHET!I239+[3]OTCHET!I240</f>
        <v>0</v>
      </c>
      <c r="J44" s="123">
        <f>+[3]OTCHET!J227+[3]OTCHET!J233+[3]OTCHET!J236+[3]OTCHET!J237+[3]OTCHET!J238+[3]OTCHET!J239+[3]OTCHET!J240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+[3]OTCHET!E236+[3]OTCHET!E237+[3]OTCHET!E238+[3]OTCHET!E239+[3]OTCHET!E243+[3]OTCHET!E244+[3]OTCHET!E248</f>
        <v>0</v>
      </c>
      <c r="F45" s="256">
        <f t="shared" si="1"/>
        <v>0</v>
      </c>
      <c r="G45" s="257">
        <f>+[3]OTCHET!G236+[3]OTCHET!G237+[3]OTCHET!G238+[3]OTCHET!G239+[3]OTCHET!G243+[3]OTCHET!G244+[3]OTCHET!G248</f>
        <v>0</v>
      </c>
      <c r="H45" s="258">
        <f>+[3]OTCHET!H236+[3]OTCHET!H237+[3]OTCHET!H238+[3]OTCHET!H239+[3]OTCHET!H243+[3]OTCHET!H244+[3]OTCHET!H248</f>
        <v>0</v>
      </c>
      <c r="I45" s="259">
        <f>+[3]OTCHET!I236+[3]OTCHET!I237+[3]OTCHET!I238+[3]OTCHET!I239+[3]OTCHET!I243+[3]OTCHET!I244+[3]OTCHET!I248</f>
        <v>0</v>
      </c>
      <c r="J45" s="260">
        <f>+[3]OTCHET!J236+[3]OTCHET!J237+[3]OTCHET!J238+[3]OTCHET!J239+[3]OTCHET!J243+[3]OTCHET!J244+[3]OTCHET!J248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+[3]OTCHET!E255+[3]OTCHET!E256+[3]OTCHET!E257+[3]OTCHET!E258</f>
        <v>0</v>
      </c>
      <c r="F46" s="250">
        <f t="shared" si="1"/>
        <v>0</v>
      </c>
      <c r="G46" s="251">
        <f>+[3]OTCHET!G255+[3]OTCHET!G256+[3]OTCHET!G257+[3]OTCHET!G258</f>
        <v>0</v>
      </c>
      <c r="H46" s="252">
        <f>+[3]OTCHET!H255+[3]OTCHET!H256+[3]OTCHET!H257+[3]OTCHET!H258</f>
        <v>0</v>
      </c>
      <c r="I46" s="252">
        <f>+[3]OTCHET!I255+[3]OTCHET!I256+[3]OTCHET!I257+[3]OTCHET!I258</f>
        <v>0</v>
      </c>
      <c r="J46" s="253">
        <f>+[3]OTCHET!J255+[3]OTCHET!J256+[3]OTCHET!J257+[3]OTCHET!J258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+[3]OTCHET!E256</f>
        <v>0</v>
      </c>
      <c r="F47" s="256">
        <f t="shared" si="1"/>
        <v>0</v>
      </c>
      <c r="G47" s="257">
        <f>+[3]OTCHET!G256</f>
        <v>0</v>
      </c>
      <c r="H47" s="258">
        <f>+[3]OTCHET!H256</f>
        <v>0</v>
      </c>
      <c r="I47" s="259">
        <f>+[3]OTCHET!I256</f>
        <v>0</v>
      </c>
      <c r="J47" s="260">
        <f>+[3]OTCHET!J256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+[3]OTCHET!E265+[3]OTCHET!E269+[3]OTCHET!E270</f>
        <v>0</v>
      </c>
      <c r="F48" s="168">
        <f t="shared" si="1"/>
        <v>0</v>
      </c>
      <c r="G48" s="163">
        <f>+[3]OTCHET!G265+[3]OTCHET!G269+[3]OTCHET!G270</f>
        <v>0</v>
      </c>
      <c r="H48" s="164">
        <f>+[3]OTCHET!H265+[3]OTCHET!H269+[3]OTCHET!H270</f>
        <v>0</v>
      </c>
      <c r="I48" s="164">
        <f>+[3]OTCHET!I265+[3]OTCHET!I269+[3]OTCHET!I270</f>
        <v>0</v>
      </c>
      <c r="J48" s="165">
        <f>+[3]OTCHET!J265+[3]OTCHET!J269+[3]OTCHET!J270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[3]OTCHET!E275+[3]OTCHET!E276+[3]OTCHET!E284+[3]OTCHET!E287</f>
        <v>0</v>
      </c>
      <c r="F49" s="168">
        <f t="shared" si="1"/>
        <v>0</v>
      </c>
      <c r="G49" s="169">
        <f>[3]OTCHET!G275+[3]OTCHET!G276+[3]OTCHET!G284+[3]OTCHET!G287</f>
        <v>0</v>
      </c>
      <c r="H49" s="170">
        <f>[3]OTCHET!H275+[3]OTCHET!H276+[3]OTCHET!H284+[3]OTCHET!H287</f>
        <v>0</v>
      </c>
      <c r="I49" s="170">
        <f>[3]OTCHET!I275+[3]OTCHET!I276+[3]OTCHET!I284+[3]OTCHET!I287</f>
        <v>0</v>
      </c>
      <c r="J49" s="171">
        <f>[3]OTCHET!J275+[3]OTCHET!J276+[3]OTCHET!J284+[3]OTCHET!J287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+[3]OTCHET!E288</f>
        <v>0</v>
      </c>
      <c r="F50" s="168">
        <f t="shared" si="1"/>
        <v>0</v>
      </c>
      <c r="G50" s="169">
        <f>+[3]OTCHET!G288</f>
        <v>0</v>
      </c>
      <c r="H50" s="170">
        <f>+[3]OTCHET!H288</f>
        <v>0</v>
      </c>
      <c r="I50" s="170">
        <f>+[3]OTCHET!I288</f>
        <v>0</v>
      </c>
      <c r="J50" s="171">
        <f>+[3]OTCHET!J288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+[3]OTCHET!E272</f>
        <v>0</v>
      </c>
      <c r="F51" s="120">
        <f>+G51+H51+I51+J51</f>
        <v>0</v>
      </c>
      <c r="G51" s="121">
        <f>+[3]OTCHET!G272</f>
        <v>0</v>
      </c>
      <c r="H51" s="122">
        <f>+[3]OTCHET!H272</f>
        <v>0</v>
      </c>
      <c r="I51" s="122">
        <f>+[3]OTCHET!I272</f>
        <v>0</v>
      </c>
      <c r="J51" s="123">
        <f>+[3]OTCHET!J272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+[3]OTCHET!E293</f>
        <v>0</v>
      </c>
      <c r="F52" s="120">
        <f t="shared" si="1"/>
        <v>0</v>
      </c>
      <c r="G52" s="121">
        <f>+[3]OTCHET!G293</f>
        <v>0</v>
      </c>
      <c r="H52" s="122">
        <f>+[3]OTCHET!H293</f>
        <v>0</v>
      </c>
      <c r="I52" s="122">
        <f>+[3]OTCHET!I293</f>
        <v>0</v>
      </c>
      <c r="J52" s="123">
        <f>+[3]OTCHET!J293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[3]OTCHET!E294</f>
        <v>0</v>
      </c>
      <c r="F53" s="267">
        <f t="shared" si="1"/>
        <v>0</v>
      </c>
      <c r="G53" s="268">
        <f>[3]OTCHET!G294</f>
        <v>0</v>
      </c>
      <c r="H53" s="269">
        <f>[3]OTCHET!H294</f>
        <v>0</v>
      </c>
      <c r="I53" s="269">
        <f>[3]OTCHET!I294</f>
        <v>0</v>
      </c>
      <c r="J53" s="270">
        <f>[3]OTCHET!J294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[3]OTCHET!E296</f>
        <v>0</v>
      </c>
      <c r="F54" s="275">
        <f t="shared" si="1"/>
        <v>0</v>
      </c>
      <c r="G54" s="276">
        <f>[3]OTCHET!G296</f>
        <v>0</v>
      </c>
      <c r="H54" s="277">
        <f>[3]OTCHET!H296</f>
        <v>0</v>
      </c>
      <c r="I54" s="277">
        <f>[3]OTCHET!I296</f>
        <v>0</v>
      </c>
      <c r="J54" s="278">
        <f>[3]OTCHET!J296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+[3]OTCHET!E297</f>
        <v>0</v>
      </c>
      <c r="F55" s="284">
        <f t="shared" si="1"/>
        <v>0</v>
      </c>
      <c r="G55" s="285">
        <f>+[3]OTCHET!G297</f>
        <v>0</v>
      </c>
      <c r="H55" s="286">
        <f>+[3]OTCHET!H297</f>
        <v>0</v>
      </c>
      <c r="I55" s="286">
        <f>+[3]OTCHET!I297</f>
        <v>0</v>
      </c>
      <c r="J55" s="287">
        <f>+[3]OTCHET!J297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259984</v>
      </c>
      <c r="G56" s="294">
        <f t="shared" si="5"/>
        <v>180604</v>
      </c>
      <c r="H56" s="295">
        <f t="shared" si="5"/>
        <v>0</v>
      </c>
      <c r="I56" s="296">
        <f t="shared" si="5"/>
        <v>0</v>
      </c>
      <c r="J56" s="297">
        <f t="shared" si="5"/>
        <v>79380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+[3]OTCHET!E361+[3]OTCHET!E375+[3]OTCHET!E388</f>
        <v>0</v>
      </c>
      <c r="F57" s="299">
        <f t="shared" si="1"/>
        <v>0</v>
      </c>
      <c r="G57" s="300">
        <f>+[3]OTCHET!G361+[3]OTCHET!G375+[3]OTCHET!G388</f>
        <v>0</v>
      </c>
      <c r="H57" s="301">
        <f>+[3]OTCHET!H361+[3]OTCHET!H375+[3]OTCHET!H388</f>
        <v>0</v>
      </c>
      <c r="I57" s="301">
        <f>+[3]OTCHET!I361+[3]OTCHET!I375+[3]OTCHET!I388</f>
        <v>0</v>
      </c>
      <c r="J57" s="302">
        <f>+[3]OTCHET!J361+[3]OTCHET!J375+[3]OTCHET!J388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+[3]OTCHET!E383+[3]OTCHET!E391+[3]OTCHET!E396+[3]OTCHET!E399+[3]OTCHET!E402+[3]OTCHET!E405+[3]OTCHET!E406+[3]OTCHET!E409+[3]OTCHET!E422+[3]OTCHET!E423+[3]OTCHET!E424+[3]OTCHET!E425+[3]OTCHET!E426</f>
        <v>0</v>
      </c>
      <c r="F58" s="304">
        <f t="shared" si="1"/>
        <v>180604</v>
      </c>
      <c r="G58" s="305">
        <f>+[3]OTCHET!G383+[3]OTCHET!G391+[3]OTCHET!G396+[3]OTCHET!G399+[3]OTCHET!G402+[3]OTCHET!G405+[3]OTCHET!G406+[3]OTCHET!G409+[3]OTCHET!G422+[3]OTCHET!G423+[3]OTCHET!G424+[3]OTCHET!G425+[3]OTCHET!G426</f>
        <v>180604</v>
      </c>
      <c r="H58" s="306">
        <f>+[3]OTCHET!H383+[3]OTCHET!H391+[3]OTCHET!H396+[3]OTCHET!H399+[3]OTCHET!H402+[3]OTCHET!H405+[3]OTCHET!H406+[3]OTCHET!H409+[3]OTCHET!H422+[3]OTCHET!H423+[3]OTCHET!H424+[3]OTCHET!H425+[3]OTCHET!H426</f>
        <v>0</v>
      </c>
      <c r="I58" s="306">
        <f>+[3]OTCHET!I383+[3]OTCHET!I391+[3]OTCHET!I396+[3]OTCHET!I399+[3]OTCHET!I402+[3]OTCHET!I405+[3]OTCHET!I406+[3]OTCHET!I409+[3]OTCHET!I422+[3]OTCHET!I423+[3]OTCHET!I424+[3]OTCHET!I425+[3]OTCHET!I426</f>
        <v>0</v>
      </c>
      <c r="J58" s="307">
        <f>+[3]OTCHET!J383+[3]OTCHET!J391+[3]OTCHET!J396+[3]OTCHET!J399+[3]OTCHET!J402+[3]OTCHET!J405+[3]OTCHET!J406+[3]OTCHET!J409+[3]OTCHET!J422+[3]OTCHET!J423+[3]OTCHET!J424+[3]OTCHET!J425+[3]OTCHET!J426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+[3]OTCHET!E422+[3]OTCHET!E423+[3]OTCHET!E424+[3]OTCHET!E425+[3]OTCHET!E426</f>
        <v>0</v>
      </c>
      <c r="F59" s="309">
        <f t="shared" si="1"/>
        <v>0</v>
      </c>
      <c r="G59" s="310">
        <f>+[3]OTCHET!G422+[3]OTCHET!G423+[3]OTCHET!G424+[3]OTCHET!G425+[3]OTCHET!G426</f>
        <v>0</v>
      </c>
      <c r="H59" s="311">
        <f>+[3]OTCHET!H422+[3]OTCHET!H423+[3]OTCHET!H424+[3]OTCHET!H425+[3]OTCHET!H426</f>
        <v>0</v>
      </c>
      <c r="I59" s="311">
        <f>+[3]OTCHET!I422+[3]OTCHET!I423+[3]OTCHET!I424+[3]OTCHET!I425+[3]OTCHET!I426</f>
        <v>0</v>
      </c>
      <c r="J59" s="312">
        <f>+[3]OTCHET!J422+[3]OTCHET!J423+[3]OTCHET!J424+[3]OTCHET!J425+[3]OTCHET!J426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[3]OTCHET!E405</f>
        <v>0</v>
      </c>
      <c r="F60" s="316">
        <f t="shared" si="1"/>
        <v>0</v>
      </c>
      <c r="G60" s="317">
        <f>[3]OTCHET!G405</f>
        <v>0</v>
      </c>
      <c r="H60" s="318">
        <f>[3]OTCHET!H405</f>
        <v>0</v>
      </c>
      <c r="I60" s="318">
        <f>[3]OTCHET!I405</f>
        <v>0</v>
      </c>
      <c r="J60" s="319">
        <f>[3]OTCHET!J405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[3]OTCHET!E412</f>
        <v>0</v>
      </c>
      <c r="F62" s="199">
        <f t="shared" si="1"/>
        <v>79380</v>
      </c>
      <c r="G62" s="200">
        <f>[3]OTCHET!G412</f>
        <v>0</v>
      </c>
      <c r="H62" s="201">
        <f>[3]OTCHET!H412</f>
        <v>0</v>
      </c>
      <c r="I62" s="201">
        <f>[3]OTCHET!I412</f>
        <v>0</v>
      </c>
      <c r="J62" s="202">
        <f>[3]OTCHET!J412</f>
        <v>79380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+[3]OTCHET!E249</f>
        <v>0</v>
      </c>
      <c r="F63" s="328">
        <f t="shared" si="1"/>
        <v>0</v>
      </c>
      <c r="G63" s="329">
        <f>+[3]OTCHET!G249</f>
        <v>0</v>
      </c>
      <c r="H63" s="330">
        <f>+[3]OTCHET!H249</f>
        <v>0</v>
      </c>
      <c r="I63" s="330">
        <f>+[3]OTCHET!I249</f>
        <v>0</v>
      </c>
      <c r="J63" s="331">
        <f>+[3]OTCHET!J249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5369</v>
      </c>
      <c r="G64" s="337">
        <f t="shared" si="6"/>
        <v>7347</v>
      </c>
      <c r="H64" s="338">
        <f t="shared" si="6"/>
        <v>0</v>
      </c>
      <c r="I64" s="338">
        <f t="shared" si="6"/>
        <v>-1378</v>
      </c>
      <c r="J64" s="339">
        <f t="shared" si="6"/>
        <v>-600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-5369</v>
      </c>
      <c r="G66" s="349">
        <f t="shared" ref="G66:L66" si="8">SUM(+G68+G76+G77+G84+G85+G86+G89+G90+G91+G92+G93+G94+G95)</f>
        <v>-7347</v>
      </c>
      <c r="H66" s="350">
        <f>SUM(+H68+H76+H77+H84+H85+H86+H89+H90+H91+H92+H93+H94+H95)</f>
        <v>0</v>
      </c>
      <c r="I66" s="350">
        <f>SUM(+I68+I76+I77+I84+I85+I86+I89+I90+I91+I92+I93+I94+I95)</f>
        <v>1378</v>
      </c>
      <c r="J66" s="351">
        <f>SUM(+J68+J76+J77+J84+J85+J86+J89+J90+J91+J92+J93+J94+J95)</f>
        <v>600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+[3]OTCHET!E482+[3]OTCHET!E483+[3]OTCHET!E486+[3]OTCHET!E487+[3]OTCHET!E490+[3]OTCHET!E491+[3]OTCHET!E495</f>
        <v>0</v>
      </c>
      <c r="F69" s="367">
        <f t="shared" si="1"/>
        <v>0</v>
      </c>
      <c r="G69" s="368">
        <f>+[3]OTCHET!G482+[3]OTCHET!G483+[3]OTCHET!G486+[3]OTCHET!G487+[3]OTCHET!G490+[3]OTCHET!G491+[3]OTCHET!G495</f>
        <v>0</v>
      </c>
      <c r="H69" s="369">
        <f>+[3]OTCHET!H482+[3]OTCHET!H483+[3]OTCHET!H486+[3]OTCHET!H487+[3]OTCHET!H490+[3]OTCHET!H491+[3]OTCHET!H495</f>
        <v>0</v>
      </c>
      <c r="I69" s="369">
        <f>+[3]OTCHET!I482+[3]OTCHET!I483+[3]OTCHET!I486+[3]OTCHET!I487+[3]OTCHET!I490+[3]OTCHET!I491+[3]OTCHET!I495</f>
        <v>0</v>
      </c>
      <c r="J69" s="370">
        <f>+[3]OTCHET!J482+[3]OTCHET!J483+[3]OTCHET!J486+[3]OTCHET!J487+[3]OTCHET!J490+[3]OTCHET!J491+[3]OTCHET!J495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+[3]OTCHET!E484+[3]OTCHET!E485+[3]OTCHET!E488+[3]OTCHET!E489+[3]OTCHET!E492+[3]OTCHET!E493+[3]OTCHET!E494+[3]OTCHET!E496</f>
        <v>0</v>
      </c>
      <c r="F70" s="375">
        <f t="shared" si="1"/>
        <v>0</v>
      </c>
      <c r="G70" s="376">
        <f>+[3]OTCHET!G484+[3]OTCHET!G485+[3]OTCHET!G488+[3]OTCHET!G489+[3]OTCHET!G492+[3]OTCHET!G493+[3]OTCHET!G494+[3]OTCHET!G496</f>
        <v>0</v>
      </c>
      <c r="H70" s="377">
        <f>+[3]OTCHET!H484+[3]OTCHET!H485+[3]OTCHET!H488+[3]OTCHET!H489+[3]OTCHET!H492+[3]OTCHET!H493+[3]OTCHET!H494+[3]OTCHET!H496</f>
        <v>0</v>
      </c>
      <c r="I70" s="377">
        <f>+[3]OTCHET!I484+[3]OTCHET!I485+[3]OTCHET!I488+[3]OTCHET!I489+[3]OTCHET!I492+[3]OTCHET!I493+[3]OTCHET!I494+[3]OTCHET!I496</f>
        <v>0</v>
      </c>
      <c r="J70" s="378">
        <f>+[3]OTCHET!J484+[3]OTCHET!J485+[3]OTCHET!J488+[3]OTCHET!J489+[3]OTCHET!J492+[3]OTCHET!J493+[3]OTCHET!J494+[3]OTCHET!J496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+[3]OTCHET!E497</f>
        <v>0</v>
      </c>
      <c r="F71" s="375">
        <f t="shared" si="1"/>
        <v>0</v>
      </c>
      <c r="G71" s="376">
        <f>+[3]OTCHET!G497</f>
        <v>0</v>
      </c>
      <c r="H71" s="377">
        <f>+[3]OTCHET!H497</f>
        <v>0</v>
      </c>
      <c r="I71" s="377">
        <f>+[3]OTCHET!I497</f>
        <v>0</v>
      </c>
      <c r="J71" s="378">
        <f>+[3]OTCHET!J497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+[3]OTCHET!E502</f>
        <v>0</v>
      </c>
      <c r="F72" s="375">
        <f t="shared" si="1"/>
        <v>0</v>
      </c>
      <c r="G72" s="376">
        <f>+[3]OTCHET!G502</f>
        <v>0</v>
      </c>
      <c r="H72" s="377">
        <f>+[3]OTCHET!H502</f>
        <v>0</v>
      </c>
      <c r="I72" s="377">
        <f>+[3]OTCHET!I502</f>
        <v>0</v>
      </c>
      <c r="J72" s="378">
        <f>+[3]OTCHET!J502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+[3]OTCHET!E542</f>
        <v>0</v>
      </c>
      <c r="F73" s="375">
        <f t="shared" si="1"/>
        <v>0</v>
      </c>
      <c r="G73" s="376">
        <f>+[3]OTCHET!G542</f>
        <v>0</v>
      </c>
      <c r="H73" s="377">
        <f>+[3]OTCHET!H542</f>
        <v>0</v>
      </c>
      <c r="I73" s="377">
        <f>+[3]OTCHET!I542</f>
        <v>0</v>
      </c>
      <c r="J73" s="378">
        <f>+[3]OTCHET!J542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+[3]OTCHET!E581+[3]OTCHET!E582</f>
        <v>0</v>
      </c>
      <c r="F74" s="375">
        <f t="shared" si="1"/>
        <v>0</v>
      </c>
      <c r="G74" s="376">
        <f>+[3]OTCHET!G581+[3]OTCHET!G582</f>
        <v>0</v>
      </c>
      <c r="H74" s="377">
        <f>+[3]OTCHET!H581+[3]OTCHET!H582</f>
        <v>0</v>
      </c>
      <c r="I74" s="377">
        <f>+[3]OTCHET!I581+[3]OTCHET!I582</f>
        <v>0</v>
      </c>
      <c r="J74" s="378">
        <f>+[3]OTCHET!J581+[3]OTCHET!J582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+[3]OTCHET!E583+[3]OTCHET!E584+[3]OTCHET!E585</f>
        <v>0</v>
      </c>
      <c r="F75" s="382">
        <f t="shared" si="1"/>
        <v>0</v>
      </c>
      <c r="G75" s="383">
        <f>+[3]OTCHET!G583+[3]OTCHET!G584+[3]OTCHET!G585</f>
        <v>0</v>
      </c>
      <c r="H75" s="384">
        <f>+[3]OTCHET!H583+[3]OTCHET!H584+[3]OTCHET!H585</f>
        <v>0</v>
      </c>
      <c r="I75" s="384">
        <f>+[3]OTCHET!I583+[3]OTCHET!I584+[3]OTCHET!I585</f>
        <v>0</v>
      </c>
      <c r="J75" s="385">
        <f>+[3]OTCHET!J583+[3]OTCHET!J584+[3]OTCHET!J585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[3]OTCHET!E461</f>
        <v>0</v>
      </c>
      <c r="F76" s="299">
        <f t="shared" si="1"/>
        <v>0</v>
      </c>
      <c r="G76" s="300">
        <f>[3]OTCHET!G461</f>
        <v>0</v>
      </c>
      <c r="H76" s="301">
        <f>[3]OTCHET!H461</f>
        <v>0</v>
      </c>
      <c r="I76" s="301">
        <f>[3]OTCHET!I461</f>
        <v>0</v>
      </c>
      <c r="J76" s="302">
        <f>[3]OTCHET!J461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+[3]OTCHET!E466+[3]OTCHET!E469</f>
        <v>0</v>
      </c>
      <c r="F78" s="367">
        <f t="shared" si="1"/>
        <v>0</v>
      </c>
      <c r="G78" s="368">
        <f>+[3]OTCHET!G466+[3]OTCHET!G469</f>
        <v>0</v>
      </c>
      <c r="H78" s="369">
        <f>+[3]OTCHET!H466+[3]OTCHET!H469</f>
        <v>0</v>
      </c>
      <c r="I78" s="369">
        <f>+[3]OTCHET!I466+[3]OTCHET!I469</f>
        <v>0</v>
      </c>
      <c r="J78" s="370">
        <f>+[3]OTCHET!J466+[3]OTCHET!J469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+[3]OTCHET!E467+[3]OTCHET!E470</f>
        <v>0</v>
      </c>
      <c r="F79" s="375">
        <f t="shared" si="1"/>
        <v>0</v>
      </c>
      <c r="G79" s="376">
        <f>+[3]OTCHET!G467+[3]OTCHET!G470</f>
        <v>0</v>
      </c>
      <c r="H79" s="377">
        <f>+[3]OTCHET!H467+[3]OTCHET!H470</f>
        <v>0</v>
      </c>
      <c r="I79" s="377">
        <f>+[3]OTCHET!I467+[3]OTCHET!I470</f>
        <v>0</v>
      </c>
      <c r="J79" s="378">
        <f>+[3]OTCHET!J467+[3]OTCHET!J470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[3]OTCHET!E471</f>
        <v>0</v>
      </c>
      <c r="F80" s="375">
        <f t="shared" si="1"/>
        <v>0</v>
      </c>
      <c r="G80" s="376">
        <f>[3]OTCHET!G471</f>
        <v>0</v>
      </c>
      <c r="H80" s="377">
        <f>[3]OTCHET!H471</f>
        <v>0</v>
      </c>
      <c r="I80" s="377">
        <f>[3]OTCHET!I471</f>
        <v>0</v>
      </c>
      <c r="J80" s="378">
        <f>[3]OTCHET!J471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+[3]OTCHET!E479</f>
        <v>0</v>
      </c>
      <c r="F82" s="375">
        <f t="shared" si="1"/>
        <v>0</v>
      </c>
      <c r="G82" s="376">
        <f>+[3]OTCHET!G479</f>
        <v>0</v>
      </c>
      <c r="H82" s="377">
        <f>+[3]OTCHET!H479</f>
        <v>0</v>
      </c>
      <c r="I82" s="377">
        <f>+[3]OTCHET!I479</f>
        <v>0</v>
      </c>
      <c r="J82" s="378">
        <f>+[3]OTCHET!J479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+[3]OTCHET!E480</f>
        <v>0</v>
      </c>
      <c r="F83" s="382">
        <f t="shared" si="1"/>
        <v>0</v>
      </c>
      <c r="G83" s="383">
        <f>+[3]OTCHET!G480</f>
        <v>0</v>
      </c>
      <c r="H83" s="384">
        <f>+[3]OTCHET!H480</f>
        <v>0</v>
      </c>
      <c r="I83" s="384">
        <f>+[3]OTCHET!I480</f>
        <v>0</v>
      </c>
      <c r="J83" s="385">
        <f>+[3]OTCHET!J480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[3]OTCHET!E535</f>
        <v>0</v>
      </c>
      <c r="F84" s="299">
        <f t="shared" si="1"/>
        <v>0</v>
      </c>
      <c r="G84" s="300">
        <f>[3]OTCHET!G535</f>
        <v>0</v>
      </c>
      <c r="H84" s="301">
        <f>[3]OTCHET!H535</f>
        <v>0</v>
      </c>
      <c r="I84" s="301">
        <f>[3]OTCHET!I535</f>
        <v>0</v>
      </c>
      <c r="J84" s="302">
        <f>[3]OTCHET!J535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[3]OTCHET!E536</f>
        <v>0</v>
      </c>
      <c r="F85" s="304">
        <f t="shared" si="1"/>
        <v>0</v>
      </c>
      <c r="G85" s="305">
        <f>[3]OTCHET!G536</f>
        <v>0</v>
      </c>
      <c r="H85" s="306">
        <f>[3]OTCHET!H536</f>
        <v>0</v>
      </c>
      <c r="I85" s="306">
        <f>[3]OTCHET!I536</f>
        <v>0</v>
      </c>
      <c r="J85" s="307">
        <f>[3]OTCHET!J536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-4947</v>
      </c>
      <c r="G86" s="310">
        <f t="shared" ref="G86:M86" si="11">+G87+G88</f>
        <v>-5547</v>
      </c>
      <c r="H86" s="311">
        <f>+H87+H88</f>
        <v>0</v>
      </c>
      <c r="I86" s="311">
        <f>+I87+I88</f>
        <v>0</v>
      </c>
      <c r="J86" s="312">
        <f>+J87+J88</f>
        <v>600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+[3]OTCHET!E503+[3]OTCHET!E512+[3]OTCHET!E516+[3]OTCHET!E543</f>
        <v>0</v>
      </c>
      <c r="F87" s="367">
        <f t="shared" si="1"/>
        <v>0</v>
      </c>
      <c r="G87" s="368">
        <f>+[3]OTCHET!G503+[3]OTCHET!G512+[3]OTCHET!G516+[3]OTCHET!G543</f>
        <v>0</v>
      </c>
      <c r="H87" s="369">
        <f>+[3]OTCHET!H503+[3]OTCHET!H512+[3]OTCHET!H516+[3]OTCHET!H543</f>
        <v>0</v>
      </c>
      <c r="I87" s="369">
        <f>+[3]OTCHET!I503+[3]OTCHET!I512+[3]OTCHET!I516+[3]OTCHET!I543</f>
        <v>0</v>
      </c>
      <c r="J87" s="370">
        <f>+[3]OTCHET!J503+[3]OTCHET!J512+[3]OTCHET!J516+[3]OTCHET!J543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+[3]OTCHET!E521+[3]OTCHET!E524+[3]OTCHET!E544</f>
        <v>0</v>
      </c>
      <c r="F88" s="382">
        <f t="shared" si="1"/>
        <v>-4947</v>
      </c>
      <c r="G88" s="383">
        <f>+[3]OTCHET!G521+[3]OTCHET!G524+[3]OTCHET!G544</f>
        <v>-5547</v>
      </c>
      <c r="H88" s="384">
        <f>+[3]OTCHET!H521+[3]OTCHET!H524+[3]OTCHET!H544</f>
        <v>0</v>
      </c>
      <c r="I88" s="384">
        <f>+[3]OTCHET!I521+[3]OTCHET!I524+[3]OTCHET!I544</f>
        <v>0</v>
      </c>
      <c r="J88" s="385">
        <f>+[3]OTCHET!J521+[3]OTCHET!J524+[3]OTCHET!J544</f>
        <v>600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[3]OTCHET!E531</f>
        <v>0</v>
      </c>
      <c r="F89" s="299">
        <f t="shared" ref="F89:F96" si="12">+G89+H89+I89+J89</f>
        <v>0</v>
      </c>
      <c r="G89" s="300">
        <f>[3]OTCHET!G531</f>
        <v>0</v>
      </c>
      <c r="H89" s="301">
        <f>[3]OTCHET!H531</f>
        <v>0</v>
      </c>
      <c r="I89" s="301">
        <f>[3]OTCHET!I531</f>
        <v>0</v>
      </c>
      <c r="J89" s="302">
        <f>[3]OTCHET!J531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+[3]OTCHET!E567+[3]OTCHET!E568+[3]OTCHET!E569+[3]OTCHET!E570+[3]OTCHET!E571+[3]OTCHET!E572</f>
        <v>0</v>
      </c>
      <c r="F90" s="304">
        <f t="shared" si="12"/>
        <v>0</v>
      </c>
      <c r="G90" s="305">
        <f>+[3]OTCHET!G567+[3]OTCHET!G568+[3]OTCHET!G569+[3]OTCHET!G570+[3]OTCHET!G571+[3]OTCHET!G572</f>
        <v>0</v>
      </c>
      <c r="H90" s="306">
        <f>+[3]OTCHET!H567+[3]OTCHET!H568+[3]OTCHET!H569+[3]OTCHET!H570+[3]OTCHET!H571+[3]OTCHET!H572</f>
        <v>0</v>
      </c>
      <c r="I90" s="306">
        <f>+[3]OTCHET!I567+[3]OTCHET!I568+[3]OTCHET!I569+[3]OTCHET!I570+[3]OTCHET!I571+[3]OTCHET!I572</f>
        <v>0</v>
      </c>
      <c r="J90" s="307">
        <f>+[3]OTCHET!J567+[3]OTCHET!J568+[3]OTCHET!J569+[3]OTCHET!J570+[3]OTCHET!J571+[3]OTCHET!J572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+[3]OTCHET!E573+[3]OTCHET!E574+[3]OTCHET!E575+[3]OTCHET!E576+[3]OTCHET!E577+[3]OTCHET!E578+[3]OTCHET!E579</f>
        <v>0</v>
      </c>
      <c r="F91" s="168">
        <f t="shared" si="12"/>
        <v>-422</v>
      </c>
      <c r="G91" s="169">
        <f>+[3]OTCHET!G573+[3]OTCHET!G574+[3]OTCHET!G575+[3]OTCHET!G576+[3]OTCHET!G577+[3]OTCHET!G578+[3]OTCHET!G579</f>
        <v>0</v>
      </c>
      <c r="H91" s="170">
        <f>+[3]OTCHET!H573+[3]OTCHET!H574+[3]OTCHET!H575+[3]OTCHET!H576+[3]OTCHET!H577+[3]OTCHET!H578+[3]OTCHET!H579</f>
        <v>0</v>
      </c>
      <c r="I91" s="170">
        <f>+[3]OTCHET!I573+[3]OTCHET!I574+[3]OTCHET!I575+[3]OTCHET!I576+[3]OTCHET!I577+[3]OTCHET!I578+[3]OTCHET!I579</f>
        <v>-422</v>
      </c>
      <c r="J91" s="171">
        <f>+[3]OTCHET!J573+[3]OTCHET!J574+[3]OTCHET!J575+[3]OTCHET!J576+[3]OTCHET!J577+[3]OTCHET!J578+[3]OTCHET!J579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+[3]OTCHET!E580</f>
        <v>0</v>
      </c>
      <c r="F92" s="168">
        <f t="shared" si="12"/>
        <v>0</v>
      </c>
      <c r="G92" s="169">
        <f>+[3]OTCHET!G580</f>
        <v>0</v>
      </c>
      <c r="H92" s="170">
        <f>+[3]OTCHET!H580</f>
        <v>0</v>
      </c>
      <c r="I92" s="170">
        <f>+[3]OTCHET!I580</f>
        <v>0</v>
      </c>
      <c r="J92" s="171">
        <f>+[3]OTCHET!J580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+[3]OTCHET!E587+[3]OTCHET!E588</f>
        <v>0</v>
      </c>
      <c r="F93" s="168">
        <f t="shared" si="12"/>
        <v>0</v>
      </c>
      <c r="G93" s="169">
        <f>+[3]OTCHET!G587+[3]OTCHET!G588</f>
        <v>0</v>
      </c>
      <c r="H93" s="170">
        <f>+[3]OTCHET!H587+[3]OTCHET!H588</f>
        <v>0</v>
      </c>
      <c r="I93" s="170">
        <f>+[3]OTCHET!I587+[3]OTCHET!I588</f>
        <v>0</v>
      </c>
      <c r="J93" s="171">
        <f>+[3]OTCHET!J587+[3]OTCHET!J588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+[3]OTCHET!E589+[3]OTCHET!E590</f>
        <v>0</v>
      </c>
      <c r="F94" s="168">
        <f t="shared" si="12"/>
        <v>0</v>
      </c>
      <c r="G94" s="169">
        <f>+[3]OTCHET!G589+[3]OTCHET!G590</f>
        <v>0</v>
      </c>
      <c r="H94" s="170">
        <f>+[3]OTCHET!H589+[3]OTCHET!H590</f>
        <v>0</v>
      </c>
      <c r="I94" s="170">
        <f>+[3]OTCHET!I589+[3]OTCHET!I590</f>
        <v>0</v>
      </c>
      <c r="J94" s="171">
        <f>+[3]OTCHET!J589+[3]OTCHET!J590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[3]OTCHET!E591</f>
        <v>0</v>
      </c>
      <c r="F95" s="120">
        <f t="shared" si="12"/>
        <v>0</v>
      </c>
      <c r="G95" s="121">
        <f>[3]OTCHET!G591</f>
        <v>-1800</v>
      </c>
      <c r="H95" s="122">
        <f>[3]OTCHET!H591</f>
        <v>0</v>
      </c>
      <c r="I95" s="122">
        <f>[3]OTCHET!I591</f>
        <v>1800</v>
      </c>
      <c r="J95" s="123">
        <f>[3]OTCHET!J591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+[3]OTCHET!E594</f>
        <v>0</v>
      </c>
      <c r="F96" s="396">
        <f t="shared" si="12"/>
        <v>0</v>
      </c>
      <c r="G96" s="397">
        <f>+[3]OTCHET!G594</f>
        <v>0</v>
      </c>
      <c r="H96" s="398">
        <f>+[3]OTCHET!H594</f>
        <v>0</v>
      </c>
      <c r="I96" s="398">
        <f>+[3]OTCHET!I594</f>
        <v>0</v>
      </c>
      <c r="J96" s="399">
        <f>+[3]OTCHET!J594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+[3]OTCHET!H605</f>
        <v>0</v>
      </c>
      <c r="C107" s="421"/>
      <c r="D107" s="421"/>
      <c r="E107" s="426"/>
      <c r="F107" s="19"/>
      <c r="G107" s="427">
        <f>+[3]OTCHET!E605</f>
        <v>0</v>
      </c>
      <c r="H107" s="427">
        <f>+[3]OTCHET!F605</f>
        <v>0</v>
      </c>
      <c r="I107" s="428"/>
      <c r="J107" s="429" t="str">
        <f>+[3]OTCHET!B605</f>
        <v>31.03.2023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9" priority="21" stopIfTrue="1" operator="notEqual">
      <formula>0</formula>
    </cfRule>
  </conditionalFormatting>
  <conditionalFormatting sqref="E105:J105">
    <cfRule type="cellIs" dxfId="208" priority="20" stopIfTrue="1" operator="notEqual">
      <formula>0</formula>
    </cfRule>
  </conditionalFormatting>
  <conditionalFormatting sqref="G107:H107 B107">
    <cfRule type="cellIs" dxfId="207" priority="19" stopIfTrue="1" operator="equal">
      <formula>0</formula>
    </cfRule>
  </conditionalFormatting>
  <conditionalFormatting sqref="I114 E110">
    <cfRule type="cellIs" dxfId="206" priority="18" stopIfTrue="1" operator="equal">
      <formula>0</formula>
    </cfRule>
  </conditionalFormatting>
  <conditionalFormatting sqref="J107">
    <cfRule type="cellIs" dxfId="205" priority="17" stopIfTrue="1" operator="equal">
      <formula>0</formula>
    </cfRule>
  </conditionalFormatting>
  <conditionalFormatting sqref="E114:F114">
    <cfRule type="cellIs" dxfId="204" priority="16" stopIfTrue="1" operator="equal">
      <formula>0</formula>
    </cfRule>
  </conditionalFormatting>
  <conditionalFormatting sqref="F15">
    <cfRule type="cellIs" dxfId="203" priority="11" stopIfTrue="1" operator="equal">
      <formula>"Чужди средства"</formula>
    </cfRule>
    <cfRule type="cellIs" dxfId="202" priority="12" stopIfTrue="1" operator="equal">
      <formula>"СЕС - ДМП"</formula>
    </cfRule>
    <cfRule type="cellIs" dxfId="201" priority="13" stopIfTrue="1" operator="equal">
      <formula>"СЕС - РА"</formula>
    </cfRule>
    <cfRule type="cellIs" dxfId="200" priority="14" stopIfTrue="1" operator="equal">
      <formula>"СЕС - ДЕС"</formula>
    </cfRule>
    <cfRule type="cellIs" dxfId="199" priority="15" stopIfTrue="1" operator="equal">
      <formula>"СЕС - КСФ"</formula>
    </cfRule>
  </conditionalFormatting>
  <conditionalFormatting sqref="B105">
    <cfRule type="cellIs" dxfId="198" priority="10" stopIfTrue="1" operator="notEqual">
      <formula>0</formula>
    </cfRule>
  </conditionalFormatting>
  <conditionalFormatting sqref="I11:J11">
    <cfRule type="cellIs" dxfId="197" priority="6" stopIfTrue="1" operator="between">
      <formula>1000000000000</formula>
      <formula>9999999999999990</formula>
    </cfRule>
    <cfRule type="cellIs" dxfId="196" priority="7" stopIfTrue="1" operator="between">
      <formula>10000000000</formula>
      <formula>999999999999</formula>
    </cfRule>
    <cfRule type="cellIs" dxfId="195" priority="8" stopIfTrue="1" operator="between">
      <formula>1000000</formula>
      <formula>99999999</formula>
    </cfRule>
    <cfRule type="cellIs" dxfId="194" priority="9" stopIfTrue="1" operator="between">
      <formula>100</formula>
      <formula>9999</formula>
    </cfRule>
  </conditionalFormatting>
  <conditionalFormatting sqref="E15">
    <cfRule type="cellIs" dxfId="193" priority="1" stopIfTrue="1" operator="equal">
      <formula>"Чужди средства"</formula>
    </cfRule>
    <cfRule type="cellIs" dxfId="192" priority="2" stopIfTrue="1" operator="equal">
      <formula>"СЕС - ДМП"</formula>
    </cfRule>
    <cfRule type="cellIs" dxfId="191" priority="3" stopIfTrue="1" operator="equal">
      <formula>"СЕС - РА"</formula>
    </cfRule>
    <cfRule type="cellIs" dxfId="190" priority="4" stopIfTrue="1" operator="equal">
      <formula>"СЕС - ДЕС"</formula>
    </cfRule>
    <cfRule type="cellIs" dxfId="189"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+[4]OTCHET!B9</f>
        <v>РИОСВ - ПЛОВДИВ</v>
      </c>
      <c r="C11" s="22"/>
      <c r="D11" s="22"/>
      <c r="E11" s="23" t="s">
        <v>0</v>
      </c>
      <c r="F11" s="24">
        <f>[4]OTCHET!F9</f>
        <v>45046</v>
      </c>
      <c r="G11" s="25" t="s">
        <v>1</v>
      </c>
      <c r="H11" s="26">
        <f>+[4]OTCHET!H9</f>
        <v>471013</v>
      </c>
      <c r="I11" s="448">
        <f>+[4]OTCHET!I9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+[4]OTCHET!B12</f>
        <v>Министерство на околната среда и водите</v>
      </c>
      <c r="C13" s="31"/>
      <c r="D13" s="31"/>
      <c r="E13" s="35" t="str">
        <f>+[4]OTCHET!E12</f>
        <v>код по ЕБК:</v>
      </c>
      <c r="F13" s="36" t="str">
        <f>+[4]OTCHET!F12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+[4]OTCHET!E15</f>
        <v>0</v>
      </c>
      <c r="F15" s="41" t="str">
        <f>[4]OTCHET!F15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54549</v>
      </c>
      <c r="G22" s="103">
        <f t="shared" si="0"/>
        <v>55349</v>
      </c>
      <c r="H22" s="104">
        <f t="shared" si="0"/>
        <v>0</v>
      </c>
      <c r="I22" s="104">
        <f t="shared" si="0"/>
        <v>0</v>
      </c>
      <c r="J22" s="105">
        <f t="shared" si="0"/>
        <v>-800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[4]OTCHET!E22+[4]OTCHET!E28+[4]OTCHET!E33+[4]OTCHET!E39+[4]OTCHET!E47+[4]OTCHET!E52+[4]OTCHET!E58+[4]OTCHET!E61+[4]OTCHET!E64+[4]OTCHET!E65+[4]OTCHET!E72+[4]OTCHET!E73</f>
        <v>0</v>
      </c>
      <c r="F23" s="111">
        <f t="shared" ref="F23:F88" si="1">+G23+H23+I23+J23</f>
        <v>0</v>
      </c>
      <c r="G23" s="112">
        <f>[4]OTCHET!G22+[4]OTCHET!G28+[4]OTCHET!G33+[4]OTCHET!G39+[4]OTCHET!G47+[4]OTCHET!G52+[4]OTCHET!G58+[4]OTCHET!G61+[4]OTCHET!G64+[4]OTCHET!G65+[4]OTCHET!G72+[4]OTCHET!G73</f>
        <v>0</v>
      </c>
      <c r="H23" s="113">
        <f>[4]OTCHET!H22+[4]OTCHET!H28+[4]OTCHET!H33+[4]OTCHET!H39+[4]OTCHET!H47+[4]OTCHET!H52+[4]OTCHET!H58+[4]OTCHET!H61+[4]OTCHET!H64+[4]OTCHET!H65+[4]OTCHET!H72+[4]OTCHET!H73</f>
        <v>0</v>
      </c>
      <c r="I23" s="113">
        <f>[4]OTCHET!I22+[4]OTCHET!I28+[4]OTCHET!I33+[4]OTCHET!I39+[4]OTCHET!I47+[4]OTCHET!I52+[4]OTCHET!I58+[4]OTCHET!I61+[4]OTCHET!I64+[4]OTCHET!I65+[4]OTCHET!I72+[4]OTCHET!I73</f>
        <v>0</v>
      </c>
      <c r="J23" s="114">
        <f>[4]OTCHET!J22+[4]OTCHET!J28+[4]OTCHET!J33+[4]OTCHET!J39+[4]OTCHET!J47+[4]OTCHET!J52+[4]OTCHET!J58+[4]OTCHET!J61+[4]OTCHET!J64+[4]OTCHET!J65+[4]OTCHET!J72+[4]OTCHET!J73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54549</v>
      </c>
      <c r="G25" s="128">
        <f t="shared" ref="G25:M25" si="2">+G26+G30+G31+G32+G33</f>
        <v>55349</v>
      </c>
      <c r="H25" s="129">
        <f>+H26+H30+H31+H32+H33</f>
        <v>0</v>
      </c>
      <c r="I25" s="129">
        <f>+I26+I30+I31+I32+I33</f>
        <v>0</v>
      </c>
      <c r="J25" s="130">
        <f>+J26+J30+J31+J32+J33</f>
        <v>-800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[4]OTCHET!E74</f>
        <v>0</v>
      </c>
      <c r="F26" s="133">
        <f t="shared" si="1"/>
        <v>0</v>
      </c>
      <c r="G26" s="134">
        <f>[4]OTCHET!G74</f>
        <v>0</v>
      </c>
      <c r="H26" s="135">
        <f>[4]OTCHET!H74</f>
        <v>0</v>
      </c>
      <c r="I26" s="135">
        <f>[4]OTCHET!I74</f>
        <v>0</v>
      </c>
      <c r="J26" s="136">
        <f>[4]OTCHET!J74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[4]OTCHET!E75</f>
        <v>0</v>
      </c>
      <c r="F27" s="140">
        <f t="shared" si="1"/>
        <v>0</v>
      </c>
      <c r="G27" s="141">
        <f>[4]OTCHET!G75</f>
        <v>0</v>
      </c>
      <c r="H27" s="142">
        <f>[4]OTCHET!H75</f>
        <v>0</v>
      </c>
      <c r="I27" s="142">
        <f>[4]OTCHET!I75</f>
        <v>0</v>
      </c>
      <c r="J27" s="143">
        <f>[4]OTCHET!J75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[4]OTCHET!E77</f>
        <v>0</v>
      </c>
      <c r="F28" s="148">
        <f t="shared" si="1"/>
        <v>0</v>
      </c>
      <c r="G28" s="149">
        <f>[4]OTCHET!G77</f>
        <v>0</v>
      </c>
      <c r="H28" s="150">
        <f>[4]OTCHET!H77</f>
        <v>0</v>
      </c>
      <c r="I28" s="150">
        <f>[4]OTCHET!I77</f>
        <v>0</v>
      </c>
      <c r="J28" s="151">
        <f>[4]OTCHET!J77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+[4]OTCHET!E78+[4]OTCHET!E79</f>
        <v>0</v>
      </c>
      <c r="F29" s="156">
        <f t="shared" si="1"/>
        <v>0</v>
      </c>
      <c r="G29" s="157">
        <f>+[4]OTCHET!G78+[4]OTCHET!G79</f>
        <v>0</v>
      </c>
      <c r="H29" s="158">
        <f>+[4]OTCHET!H78+[4]OTCHET!H79</f>
        <v>0</v>
      </c>
      <c r="I29" s="158">
        <f>+[4]OTCHET!I78+[4]OTCHET!I79</f>
        <v>0</v>
      </c>
      <c r="J29" s="159">
        <f>+[4]OTCHET!J78+[4]OTCHET!J79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[4]OTCHET!E90+[4]OTCHET!E93+[4]OTCHET!E94</f>
        <v>0</v>
      </c>
      <c r="F30" s="162">
        <f t="shared" si="1"/>
        <v>49784</v>
      </c>
      <c r="G30" s="163">
        <f>[4]OTCHET!G90+[4]OTCHET!G93+[4]OTCHET!G94</f>
        <v>49784</v>
      </c>
      <c r="H30" s="164">
        <f>[4]OTCHET!H90+[4]OTCHET!H93+[4]OTCHET!H94</f>
        <v>0</v>
      </c>
      <c r="I30" s="164">
        <f>[4]OTCHET!I90+[4]OTCHET!I93+[4]OTCHET!I94</f>
        <v>0</v>
      </c>
      <c r="J30" s="165">
        <f>[4]OTCHET!J90+[4]OTCHET!J93+[4]OTCHET!J94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[4]OTCHET!E106</f>
        <v>0</v>
      </c>
      <c r="F31" s="168">
        <f t="shared" si="1"/>
        <v>4685</v>
      </c>
      <c r="G31" s="169">
        <f>[4]OTCHET!G106</f>
        <v>4685</v>
      </c>
      <c r="H31" s="170">
        <f>[4]OTCHET!H106</f>
        <v>0</v>
      </c>
      <c r="I31" s="170">
        <f>[4]OTCHET!I106</f>
        <v>0</v>
      </c>
      <c r="J31" s="171">
        <f>[4]OTCHET!J106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[4]OTCHET!E110+[4]OTCHET!E119+[4]OTCHET!E135+[4]OTCHET!E136</f>
        <v>0</v>
      </c>
      <c r="F32" s="168">
        <f t="shared" si="1"/>
        <v>80</v>
      </c>
      <c r="G32" s="169">
        <f>[4]OTCHET!G110+[4]OTCHET!G119+[4]OTCHET!G135+[4]OTCHET!G136</f>
        <v>880</v>
      </c>
      <c r="H32" s="170">
        <f>[4]OTCHET!H110+[4]OTCHET!H119+[4]OTCHET!H135+[4]OTCHET!H136</f>
        <v>0</v>
      </c>
      <c r="I32" s="170">
        <f>[4]OTCHET!I110+[4]OTCHET!I119+[4]OTCHET!I135+[4]OTCHET!I136</f>
        <v>0</v>
      </c>
      <c r="J32" s="171">
        <f>[4]OTCHET!J110+[4]OTCHET!J119+[4]OTCHET!J135+[4]OTCHET!J136</f>
        <v>-800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[4]OTCHET!E123</f>
        <v>0</v>
      </c>
      <c r="F33" s="120">
        <f t="shared" si="1"/>
        <v>0</v>
      </c>
      <c r="G33" s="121">
        <f>[4]OTCHET!G123</f>
        <v>0</v>
      </c>
      <c r="H33" s="122">
        <f>[4]OTCHET!H123</f>
        <v>0</v>
      </c>
      <c r="I33" s="122">
        <f>[4]OTCHET!I123</f>
        <v>0</v>
      </c>
      <c r="J33" s="123">
        <f>[4]OTCHET!J123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+[4]OTCHET!E137</f>
        <v>0</v>
      </c>
      <c r="F36" s="191">
        <f t="shared" si="1"/>
        <v>0</v>
      </c>
      <c r="G36" s="192">
        <f>+[4]OTCHET!G137</f>
        <v>0</v>
      </c>
      <c r="H36" s="193">
        <f>+[4]OTCHET!H137</f>
        <v>0</v>
      </c>
      <c r="I36" s="193">
        <f>+[4]OTCHET!I137</f>
        <v>0</v>
      </c>
      <c r="J36" s="194">
        <f>+[4]OTCHET!J137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[4]OTCHET!E140+[4]OTCHET!E149+[4]OTCHET!E158</f>
        <v>0</v>
      </c>
      <c r="F37" s="199">
        <f t="shared" si="1"/>
        <v>0</v>
      </c>
      <c r="G37" s="200">
        <f>[4]OTCHET!G140+[4]OTCHET!G149+[4]OTCHET!G158</f>
        <v>0</v>
      </c>
      <c r="H37" s="201">
        <f>[4]OTCHET!H140+[4]OTCHET!H149+[4]OTCHET!H158</f>
        <v>0</v>
      </c>
      <c r="I37" s="201">
        <f>[4]OTCHET!I140+[4]OTCHET!I149+[4]OTCHET!I158</f>
        <v>0</v>
      </c>
      <c r="J37" s="202">
        <f>[4]OTCHET!J140+[4]OTCHET!J149+[4]OTCHET!J158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435015</v>
      </c>
      <c r="G38" s="210">
        <f t="shared" si="3"/>
        <v>317057</v>
      </c>
      <c r="H38" s="211">
        <f t="shared" si="3"/>
        <v>0</v>
      </c>
      <c r="I38" s="211">
        <f t="shared" si="3"/>
        <v>1476</v>
      </c>
      <c r="J38" s="212">
        <f t="shared" si="3"/>
        <v>116482</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397696</v>
      </c>
      <c r="G39" s="222">
        <f t="shared" si="4"/>
        <v>281214</v>
      </c>
      <c r="H39" s="223">
        <f t="shared" si="4"/>
        <v>0</v>
      </c>
      <c r="I39" s="223">
        <f t="shared" si="4"/>
        <v>0</v>
      </c>
      <c r="J39" s="224">
        <f t="shared" si="4"/>
        <v>116482</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[4]OTCHET!E187</f>
        <v>0</v>
      </c>
      <c r="F40" s="229">
        <f t="shared" si="1"/>
        <v>259498</v>
      </c>
      <c r="G40" s="230">
        <f>[4]OTCHET!G187</f>
        <v>229691</v>
      </c>
      <c r="H40" s="231">
        <f>[4]OTCHET!H187</f>
        <v>0</v>
      </c>
      <c r="I40" s="231">
        <f>[4]OTCHET!I187</f>
        <v>0</v>
      </c>
      <c r="J40" s="232">
        <f>[4]OTCHET!J187</f>
        <v>29807</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[4]OTCHET!E190</f>
        <v>0</v>
      </c>
      <c r="F41" s="237">
        <f t="shared" si="1"/>
        <v>55039</v>
      </c>
      <c r="G41" s="238">
        <f>[4]OTCHET!G190</f>
        <v>51523</v>
      </c>
      <c r="H41" s="239">
        <f>[4]OTCHET!H190</f>
        <v>0</v>
      </c>
      <c r="I41" s="239">
        <f>[4]OTCHET!I190</f>
        <v>0</v>
      </c>
      <c r="J41" s="240">
        <f>[4]OTCHET!J190</f>
        <v>3516</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+[4]OTCHET!E196+[4]OTCHET!E204</f>
        <v>0</v>
      </c>
      <c r="F42" s="244">
        <f t="shared" si="1"/>
        <v>83159</v>
      </c>
      <c r="G42" s="245">
        <f>+[4]OTCHET!G196+[4]OTCHET!G204</f>
        <v>0</v>
      </c>
      <c r="H42" s="246">
        <f>+[4]OTCHET!H196+[4]OTCHET!H204</f>
        <v>0</v>
      </c>
      <c r="I42" s="246">
        <f>+[4]OTCHET!I196+[4]OTCHET!I204</f>
        <v>0</v>
      </c>
      <c r="J42" s="247">
        <f>+[4]OTCHET!J196+[4]OTCHET!J204</f>
        <v>83159</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+[4]OTCHET!E205+[4]OTCHET!E223+[4]OTCHET!E271</f>
        <v>0</v>
      </c>
      <c r="F43" s="250">
        <f t="shared" si="1"/>
        <v>37319</v>
      </c>
      <c r="G43" s="251">
        <f>+[4]OTCHET!G205+[4]OTCHET!G223+[4]OTCHET!G271</f>
        <v>35843</v>
      </c>
      <c r="H43" s="252">
        <f>+[4]OTCHET!H205+[4]OTCHET!H223+[4]OTCHET!H271</f>
        <v>0</v>
      </c>
      <c r="I43" s="252">
        <f>+[4]OTCHET!I205+[4]OTCHET!I223+[4]OTCHET!I271</f>
        <v>1476</v>
      </c>
      <c r="J43" s="253">
        <f>+[4]OTCHET!J205+[4]OTCHET!J223+[4]OTCHET!J271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+[4]OTCHET!E227+[4]OTCHET!E233+[4]OTCHET!E236+[4]OTCHET!E237+[4]OTCHET!E238+[4]OTCHET!E239+[4]OTCHET!E240</f>
        <v>0</v>
      </c>
      <c r="F44" s="120">
        <f t="shared" si="1"/>
        <v>0</v>
      </c>
      <c r="G44" s="121">
        <f>+[4]OTCHET!G227+[4]OTCHET!G233+[4]OTCHET!G236+[4]OTCHET!G237+[4]OTCHET!G238+[4]OTCHET!G239+[4]OTCHET!G240</f>
        <v>0</v>
      </c>
      <c r="H44" s="122">
        <f>+[4]OTCHET!H227+[4]OTCHET!H233+[4]OTCHET!H236+[4]OTCHET!H237+[4]OTCHET!H238+[4]OTCHET!H239+[4]OTCHET!H240</f>
        <v>0</v>
      </c>
      <c r="I44" s="122">
        <f>+[4]OTCHET!I227+[4]OTCHET!I233+[4]OTCHET!I236+[4]OTCHET!I237+[4]OTCHET!I238+[4]OTCHET!I239+[4]OTCHET!I240</f>
        <v>0</v>
      </c>
      <c r="J44" s="123">
        <f>+[4]OTCHET!J227+[4]OTCHET!J233+[4]OTCHET!J236+[4]OTCHET!J237+[4]OTCHET!J238+[4]OTCHET!J239+[4]OTCHET!J240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+[4]OTCHET!E236+[4]OTCHET!E237+[4]OTCHET!E238+[4]OTCHET!E239+[4]OTCHET!E243+[4]OTCHET!E244+[4]OTCHET!E248</f>
        <v>0</v>
      </c>
      <c r="F45" s="256">
        <f t="shared" si="1"/>
        <v>0</v>
      </c>
      <c r="G45" s="257">
        <f>+[4]OTCHET!G236+[4]OTCHET!G237+[4]OTCHET!G238+[4]OTCHET!G239+[4]OTCHET!G243+[4]OTCHET!G244+[4]OTCHET!G248</f>
        <v>0</v>
      </c>
      <c r="H45" s="258">
        <f>+[4]OTCHET!H236+[4]OTCHET!H237+[4]OTCHET!H238+[4]OTCHET!H239+[4]OTCHET!H243+[4]OTCHET!H244+[4]OTCHET!H248</f>
        <v>0</v>
      </c>
      <c r="I45" s="259">
        <f>+[4]OTCHET!I236+[4]OTCHET!I237+[4]OTCHET!I238+[4]OTCHET!I239+[4]OTCHET!I243+[4]OTCHET!I244+[4]OTCHET!I248</f>
        <v>0</v>
      </c>
      <c r="J45" s="260">
        <f>+[4]OTCHET!J236+[4]OTCHET!J237+[4]OTCHET!J238+[4]OTCHET!J239+[4]OTCHET!J243+[4]OTCHET!J244+[4]OTCHET!J248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+[4]OTCHET!E255+[4]OTCHET!E256+[4]OTCHET!E257+[4]OTCHET!E258</f>
        <v>0</v>
      </c>
      <c r="F46" s="250">
        <f t="shared" si="1"/>
        <v>0</v>
      </c>
      <c r="G46" s="251">
        <f>+[4]OTCHET!G255+[4]OTCHET!G256+[4]OTCHET!G257+[4]OTCHET!G258</f>
        <v>0</v>
      </c>
      <c r="H46" s="252">
        <f>+[4]OTCHET!H255+[4]OTCHET!H256+[4]OTCHET!H257+[4]OTCHET!H258</f>
        <v>0</v>
      </c>
      <c r="I46" s="252">
        <f>+[4]OTCHET!I255+[4]OTCHET!I256+[4]OTCHET!I257+[4]OTCHET!I258</f>
        <v>0</v>
      </c>
      <c r="J46" s="253">
        <f>+[4]OTCHET!J255+[4]OTCHET!J256+[4]OTCHET!J257+[4]OTCHET!J258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+[4]OTCHET!E256</f>
        <v>0</v>
      </c>
      <c r="F47" s="256">
        <f t="shared" si="1"/>
        <v>0</v>
      </c>
      <c r="G47" s="257">
        <f>+[4]OTCHET!G256</f>
        <v>0</v>
      </c>
      <c r="H47" s="258">
        <f>+[4]OTCHET!H256</f>
        <v>0</v>
      </c>
      <c r="I47" s="259">
        <f>+[4]OTCHET!I256</f>
        <v>0</v>
      </c>
      <c r="J47" s="260">
        <f>+[4]OTCHET!J256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+[4]OTCHET!E265+[4]OTCHET!E269+[4]OTCHET!E270</f>
        <v>0</v>
      </c>
      <c r="F48" s="168">
        <f t="shared" si="1"/>
        <v>0</v>
      </c>
      <c r="G48" s="163">
        <f>+[4]OTCHET!G265+[4]OTCHET!G269+[4]OTCHET!G270</f>
        <v>0</v>
      </c>
      <c r="H48" s="164">
        <f>+[4]OTCHET!H265+[4]OTCHET!H269+[4]OTCHET!H270</f>
        <v>0</v>
      </c>
      <c r="I48" s="164">
        <f>+[4]OTCHET!I265+[4]OTCHET!I269+[4]OTCHET!I270</f>
        <v>0</v>
      </c>
      <c r="J48" s="165">
        <f>+[4]OTCHET!J265+[4]OTCHET!J269+[4]OTCHET!J270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[4]OTCHET!E275+[4]OTCHET!E276+[4]OTCHET!E284+[4]OTCHET!E287</f>
        <v>0</v>
      </c>
      <c r="F49" s="168">
        <f t="shared" si="1"/>
        <v>0</v>
      </c>
      <c r="G49" s="169">
        <f>[4]OTCHET!G275+[4]OTCHET!G276+[4]OTCHET!G284+[4]OTCHET!G287</f>
        <v>0</v>
      </c>
      <c r="H49" s="170">
        <f>[4]OTCHET!H275+[4]OTCHET!H276+[4]OTCHET!H284+[4]OTCHET!H287</f>
        <v>0</v>
      </c>
      <c r="I49" s="170">
        <f>[4]OTCHET!I275+[4]OTCHET!I276+[4]OTCHET!I284+[4]OTCHET!I287</f>
        <v>0</v>
      </c>
      <c r="J49" s="171">
        <f>[4]OTCHET!J275+[4]OTCHET!J276+[4]OTCHET!J284+[4]OTCHET!J287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+[4]OTCHET!E288</f>
        <v>0</v>
      </c>
      <c r="F50" s="168">
        <f t="shared" si="1"/>
        <v>0</v>
      </c>
      <c r="G50" s="169">
        <f>+[4]OTCHET!G288</f>
        <v>0</v>
      </c>
      <c r="H50" s="170">
        <f>+[4]OTCHET!H288</f>
        <v>0</v>
      </c>
      <c r="I50" s="170">
        <f>+[4]OTCHET!I288</f>
        <v>0</v>
      </c>
      <c r="J50" s="171">
        <f>+[4]OTCHET!J288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+[4]OTCHET!E272</f>
        <v>0</v>
      </c>
      <c r="F51" s="120">
        <f>+G51+H51+I51+J51</f>
        <v>0</v>
      </c>
      <c r="G51" s="121">
        <f>+[4]OTCHET!G272</f>
        <v>0</v>
      </c>
      <c r="H51" s="122">
        <f>+[4]OTCHET!H272</f>
        <v>0</v>
      </c>
      <c r="I51" s="122">
        <f>+[4]OTCHET!I272</f>
        <v>0</v>
      </c>
      <c r="J51" s="123">
        <f>+[4]OTCHET!J272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+[4]OTCHET!E293</f>
        <v>0</v>
      </c>
      <c r="F52" s="120">
        <f t="shared" si="1"/>
        <v>0</v>
      </c>
      <c r="G52" s="121">
        <f>+[4]OTCHET!G293</f>
        <v>0</v>
      </c>
      <c r="H52" s="122">
        <f>+[4]OTCHET!H293</f>
        <v>0</v>
      </c>
      <c r="I52" s="122">
        <f>+[4]OTCHET!I293</f>
        <v>0</v>
      </c>
      <c r="J52" s="123">
        <f>+[4]OTCHET!J293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[4]OTCHET!E294</f>
        <v>0</v>
      </c>
      <c r="F53" s="267">
        <f t="shared" si="1"/>
        <v>0</v>
      </c>
      <c r="G53" s="268">
        <f>[4]OTCHET!G294</f>
        <v>0</v>
      </c>
      <c r="H53" s="269">
        <f>[4]OTCHET!H294</f>
        <v>0</v>
      </c>
      <c r="I53" s="269">
        <f>[4]OTCHET!I294</f>
        <v>0</v>
      </c>
      <c r="J53" s="270">
        <f>[4]OTCHET!J294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[4]OTCHET!E296</f>
        <v>0</v>
      </c>
      <c r="F54" s="275">
        <f t="shared" si="1"/>
        <v>0</v>
      </c>
      <c r="G54" s="276">
        <f>[4]OTCHET!G296</f>
        <v>0</v>
      </c>
      <c r="H54" s="277">
        <f>[4]OTCHET!H296</f>
        <v>0</v>
      </c>
      <c r="I54" s="277">
        <f>[4]OTCHET!I296</f>
        <v>0</v>
      </c>
      <c r="J54" s="278">
        <f>[4]OTCHET!J296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+[4]OTCHET!E297</f>
        <v>0</v>
      </c>
      <c r="F55" s="284">
        <f t="shared" si="1"/>
        <v>0</v>
      </c>
      <c r="G55" s="285">
        <f>+[4]OTCHET!G297</f>
        <v>0</v>
      </c>
      <c r="H55" s="286">
        <f>+[4]OTCHET!H297</f>
        <v>0</v>
      </c>
      <c r="I55" s="286">
        <f>+[4]OTCHET!I297</f>
        <v>0</v>
      </c>
      <c r="J55" s="287">
        <f>+[4]OTCHET!J297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389314</v>
      </c>
      <c r="G56" s="294">
        <f t="shared" si="5"/>
        <v>272832</v>
      </c>
      <c r="H56" s="295">
        <f t="shared" si="5"/>
        <v>0</v>
      </c>
      <c r="I56" s="296">
        <f t="shared" si="5"/>
        <v>0</v>
      </c>
      <c r="J56" s="297">
        <f t="shared" si="5"/>
        <v>116482</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+[4]OTCHET!E361+[4]OTCHET!E375+[4]OTCHET!E388</f>
        <v>0</v>
      </c>
      <c r="F57" s="299">
        <f t="shared" si="1"/>
        <v>0</v>
      </c>
      <c r="G57" s="300">
        <f>+[4]OTCHET!G361+[4]OTCHET!G375+[4]OTCHET!G388</f>
        <v>0</v>
      </c>
      <c r="H57" s="301">
        <f>+[4]OTCHET!H361+[4]OTCHET!H375+[4]OTCHET!H388</f>
        <v>0</v>
      </c>
      <c r="I57" s="301">
        <f>+[4]OTCHET!I361+[4]OTCHET!I375+[4]OTCHET!I388</f>
        <v>0</v>
      </c>
      <c r="J57" s="302">
        <f>+[4]OTCHET!J361+[4]OTCHET!J375+[4]OTCHET!J388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+[4]OTCHET!E383+[4]OTCHET!E391+[4]OTCHET!E396+[4]OTCHET!E399+[4]OTCHET!E402+[4]OTCHET!E405+[4]OTCHET!E406+[4]OTCHET!E409+[4]OTCHET!E422+[4]OTCHET!E423+[4]OTCHET!E424+[4]OTCHET!E425+[4]OTCHET!E426</f>
        <v>0</v>
      </c>
      <c r="F58" s="304">
        <f t="shared" si="1"/>
        <v>272832</v>
      </c>
      <c r="G58" s="305">
        <f>+[4]OTCHET!G383+[4]OTCHET!G391+[4]OTCHET!G396+[4]OTCHET!G399+[4]OTCHET!G402+[4]OTCHET!G405+[4]OTCHET!G406+[4]OTCHET!G409+[4]OTCHET!G422+[4]OTCHET!G423+[4]OTCHET!G424+[4]OTCHET!G425+[4]OTCHET!G426</f>
        <v>272832</v>
      </c>
      <c r="H58" s="306">
        <f>+[4]OTCHET!H383+[4]OTCHET!H391+[4]OTCHET!H396+[4]OTCHET!H399+[4]OTCHET!H402+[4]OTCHET!H405+[4]OTCHET!H406+[4]OTCHET!H409+[4]OTCHET!H422+[4]OTCHET!H423+[4]OTCHET!H424+[4]OTCHET!H425+[4]OTCHET!H426</f>
        <v>0</v>
      </c>
      <c r="I58" s="306">
        <f>+[4]OTCHET!I383+[4]OTCHET!I391+[4]OTCHET!I396+[4]OTCHET!I399+[4]OTCHET!I402+[4]OTCHET!I405+[4]OTCHET!I406+[4]OTCHET!I409+[4]OTCHET!I422+[4]OTCHET!I423+[4]OTCHET!I424+[4]OTCHET!I425+[4]OTCHET!I426</f>
        <v>0</v>
      </c>
      <c r="J58" s="307">
        <f>+[4]OTCHET!J383+[4]OTCHET!J391+[4]OTCHET!J396+[4]OTCHET!J399+[4]OTCHET!J402+[4]OTCHET!J405+[4]OTCHET!J406+[4]OTCHET!J409+[4]OTCHET!J422+[4]OTCHET!J423+[4]OTCHET!J424+[4]OTCHET!J425+[4]OTCHET!J426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+[4]OTCHET!E422+[4]OTCHET!E423+[4]OTCHET!E424+[4]OTCHET!E425+[4]OTCHET!E426</f>
        <v>0</v>
      </c>
      <c r="F59" s="309">
        <f t="shared" si="1"/>
        <v>0</v>
      </c>
      <c r="G59" s="310">
        <f>+[4]OTCHET!G422+[4]OTCHET!G423+[4]OTCHET!G424+[4]OTCHET!G425+[4]OTCHET!G426</f>
        <v>0</v>
      </c>
      <c r="H59" s="311">
        <f>+[4]OTCHET!H422+[4]OTCHET!H423+[4]OTCHET!H424+[4]OTCHET!H425+[4]OTCHET!H426</f>
        <v>0</v>
      </c>
      <c r="I59" s="311">
        <f>+[4]OTCHET!I422+[4]OTCHET!I423+[4]OTCHET!I424+[4]OTCHET!I425+[4]OTCHET!I426</f>
        <v>0</v>
      </c>
      <c r="J59" s="312">
        <f>+[4]OTCHET!J422+[4]OTCHET!J423+[4]OTCHET!J424+[4]OTCHET!J425+[4]OTCHET!J426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[4]OTCHET!E405</f>
        <v>0</v>
      </c>
      <c r="F60" s="316">
        <f t="shared" si="1"/>
        <v>0</v>
      </c>
      <c r="G60" s="317">
        <f>[4]OTCHET!G405</f>
        <v>0</v>
      </c>
      <c r="H60" s="318">
        <f>[4]OTCHET!H405</f>
        <v>0</v>
      </c>
      <c r="I60" s="318">
        <f>[4]OTCHET!I405</f>
        <v>0</v>
      </c>
      <c r="J60" s="319">
        <f>[4]OTCHET!J405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[4]OTCHET!E412</f>
        <v>0</v>
      </c>
      <c r="F62" s="199">
        <f t="shared" si="1"/>
        <v>116482</v>
      </c>
      <c r="G62" s="200">
        <f>[4]OTCHET!G412</f>
        <v>0</v>
      </c>
      <c r="H62" s="201">
        <f>[4]OTCHET!H412</f>
        <v>0</v>
      </c>
      <c r="I62" s="201">
        <f>[4]OTCHET!I412</f>
        <v>0</v>
      </c>
      <c r="J62" s="202">
        <f>[4]OTCHET!J412</f>
        <v>116482</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+[4]OTCHET!E249</f>
        <v>0</v>
      </c>
      <c r="F63" s="328">
        <f t="shared" si="1"/>
        <v>0</v>
      </c>
      <c r="G63" s="329">
        <f>+[4]OTCHET!G249</f>
        <v>0</v>
      </c>
      <c r="H63" s="330">
        <f>+[4]OTCHET!H249</f>
        <v>0</v>
      </c>
      <c r="I63" s="330">
        <f>+[4]OTCHET!I249</f>
        <v>0</v>
      </c>
      <c r="J63" s="331">
        <f>+[4]OTCHET!J249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8848</v>
      </c>
      <c r="G64" s="337">
        <f t="shared" si="6"/>
        <v>11124</v>
      </c>
      <c r="H64" s="338">
        <f t="shared" si="6"/>
        <v>0</v>
      </c>
      <c r="I64" s="338">
        <f t="shared" si="6"/>
        <v>-1476</v>
      </c>
      <c r="J64" s="339">
        <f t="shared" si="6"/>
        <v>-800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-8848</v>
      </c>
      <c r="G66" s="349">
        <f t="shared" ref="G66:L66" si="8">SUM(+G68+G76+G77+G84+G85+G86+G89+G90+G91+G92+G93+G94+G95)</f>
        <v>-11124</v>
      </c>
      <c r="H66" s="350">
        <f>SUM(+H68+H76+H77+H84+H85+H86+H89+H90+H91+H92+H93+H94+H95)</f>
        <v>0</v>
      </c>
      <c r="I66" s="350">
        <f>SUM(+I68+I76+I77+I84+I85+I86+I89+I90+I91+I92+I93+I94+I95)</f>
        <v>1476</v>
      </c>
      <c r="J66" s="351">
        <f>SUM(+J68+J76+J77+J84+J85+J86+J89+J90+J91+J92+J93+J94+J95)</f>
        <v>800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+[4]OTCHET!E482+[4]OTCHET!E483+[4]OTCHET!E486+[4]OTCHET!E487+[4]OTCHET!E490+[4]OTCHET!E491+[4]OTCHET!E495</f>
        <v>0</v>
      </c>
      <c r="F69" s="367">
        <f t="shared" si="1"/>
        <v>0</v>
      </c>
      <c r="G69" s="368">
        <f>+[4]OTCHET!G482+[4]OTCHET!G483+[4]OTCHET!G486+[4]OTCHET!G487+[4]OTCHET!G490+[4]OTCHET!G491+[4]OTCHET!G495</f>
        <v>0</v>
      </c>
      <c r="H69" s="369">
        <f>+[4]OTCHET!H482+[4]OTCHET!H483+[4]OTCHET!H486+[4]OTCHET!H487+[4]OTCHET!H490+[4]OTCHET!H491+[4]OTCHET!H495</f>
        <v>0</v>
      </c>
      <c r="I69" s="369">
        <f>+[4]OTCHET!I482+[4]OTCHET!I483+[4]OTCHET!I486+[4]OTCHET!I487+[4]OTCHET!I490+[4]OTCHET!I491+[4]OTCHET!I495</f>
        <v>0</v>
      </c>
      <c r="J69" s="370">
        <f>+[4]OTCHET!J482+[4]OTCHET!J483+[4]OTCHET!J486+[4]OTCHET!J487+[4]OTCHET!J490+[4]OTCHET!J491+[4]OTCHET!J495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+[4]OTCHET!E484+[4]OTCHET!E485+[4]OTCHET!E488+[4]OTCHET!E489+[4]OTCHET!E492+[4]OTCHET!E493+[4]OTCHET!E494+[4]OTCHET!E496</f>
        <v>0</v>
      </c>
      <c r="F70" s="375">
        <f t="shared" si="1"/>
        <v>0</v>
      </c>
      <c r="G70" s="376">
        <f>+[4]OTCHET!G484+[4]OTCHET!G485+[4]OTCHET!G488+[4]OTCHET!G489+[4]OTCHET!G492+[4]OTCHET!G493+[4]OTCHET!G494+[4]OTCHET!G496</f>
        <v>0</v>
      </c>
      <c r="H70" s="377">
        <f>+[4]OTCHET!H484+[4]OTCHET!H485+[4]OTCHET!H488+[4]OTCHET!H489+[4]OTCHET!H492+[4]OTCHET!H493+[4]OTCHET!H494+[4]OTCHET!H496</f>
        <v>0</v>
      </c>
      <c r="I70" s="377">
        <f>+[4]OTCHET!I484+[4]OTCHET!I485+[4]OTCHET!I488+[4]OTCHET!I489+[4]OTCHET!I492+[4]OTCHET!I493+[4]OTCHET!I494+[4]OTCHET!I496</f>
        <v>0</v>
      </c>
      <c r="J70" s="378">
        <f>+[4]OTCHET!J484+[4]OTCHET!J485+[4]OTCHET!J488+[4]OTCHET!J489+[4]OTCHET!J492+[4]OTCHET!J493+[4]OTCHET!J494+[4]OTCHET!J496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+[4]OTCHET!E497</f>
        <v>0</v>
      </c>
      <c r="F71" s="375">
        <f t="shared" si="1"/>
        <v>0</v>
      </c>
      <c r="G71" s="376">
        <f>+[4]OTCHET!G497</f>
        <v>0</v>
      </c>
      <c r="H71" s="377">
        <f>+[4]OTCHET!H497</f>
        <v>0</v>
      </c>
      <c r="I71" s="377">
        <f>+[4]OTCHET!I497</f>
        <v>0</v>
      </c>
      <c r="J71" s="378">
        <f>+[4]OTCHET!J497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+[4]OTCHET!E502</f>
        <v>0</v>
      </c>
      <c r="F72" s="375">
        <f t="shared" si="1"/>
        <v>0</v>
      </c>
      <c r="G72" s="376">
        <f>+[4]OTCHET!G502</f>
        <v>0</v>
      </c>
      <c r="H72" s="377">
        <f>+[4]OTCHET!H502</f>
        <v>0</v>
      </c>
      <c r="I72" s="377">
        <f>+[4]OTCHET!I502</f>
        <v>0</v>
      </c>
      <c r="J72" s="378">
        <f>+[4]OTCHET!J502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+[4]OTCHET!E542</f>
        <v>0</v>
      </c>
      <c r="F73" s="375">
        <f t="shared" si="1"/>
        <v>0</v>
      </c>
      <c r="G73" s="376">
        <f>+[4]OTCHET!G542</f>
        <v>0</v>
      </c>
      <c r="H73" s="377">
        <f>+[4]OTCHET!H542</f>
        <v>0</v>
      </c>
      <c r="I73" s="377">
        <f>+[4]OTCHET!I542</f>
        <v>0</v>
      </c>
      <c r="J73" s="378">
        <f>+[4]OTCHET!J542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+[4]OTCHET!E581+[4]OTCHET!E582</f>
        <v>0</v>
      </c>
      <c r="F74" s="375">
        <f t="shared" si="1"/>
        <v>0</v>
      </c>
      <c r="G74" s="376">
        <f>+[4]OTCHET!G581+[4]OTCHET!G582</f>
        <v>0</v>
      </c>
      <c r="H74" s="377">
        <f>+[4]OTCHET!H581+[4]OTCHET!H582</f>
        <v>0</v>
      </c>
      <c r="I74" s="377">
        <f>+[4]OTCHET!I581+[4]OTCHET!I582</f>
        <v>0</v>
      </c>
      <c r="J74" s="378">
        <f>+[4]OTCHET!J581+[4]OTCHET!J582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+[4]OTCHET!E583+[4]OTCHET!E584+[4]OTCHET!E585</f>
        <v>0</v>
      </c>
      <c r="F75" s="382">
        <f t="shared" si="1"/>
        <v>0</v>
      </c>
      <c r="G75" s="383">
        <f>+[4]OTCHET!G583+[4]OTCHET!G584+[4]OTCHET!G585</f>
        <v>0</v>
      </c>
      <c r="H75" s="384">
        <f>+[4]OTCHET!H583+[4]OTCHET!H584+[4]OTCHET!H585</f>
        <v>0</v>
      </c>
      <c r="I75" s="384">
        <f>+[4]OTCHET!I583+[4]OTCHET!I584+[4]OTCHET!I585</f>
        <v>0</v>
      </c>
      <c r="J75" s="385">
        <f>+[4]OTCHET!J583+[4]OTCHET!J584+[4]OTCHET!J585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[4]OTCHET!E461</f>
        <v>0</v>
      </c>
      <c r="F76" s="299">
        <f t="shared" si="1"/>
        <v>0</v>
      </c>
      <c r="G76" s="300">
        <f>[4]OTCHET!G461</f>
        <v>0</v>
      </c>
      <c r="H76" s="301">
        <f>[4]OTCHET!H461</f>
        <v>0</v>
      </c>
      <c r="I76" s="301">
        <f>[4]OTCHET!I461</f>
        <v>0</v>
      </c>
      <c r="J76" s="302">
        <f>[4]OTCHET!J461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+[4]OTCHET!E466+[4]OTCHET!E469</f>
        <v>0</v>
      </c>
      <c r="F78" s="367">
        <f t="shared" si="1"/>
        <v>0</v>
      </c>
      <c r="G78" s="368">
        <f>+[4]OTCHET!G466+[4]OTCHET!G469</f>
        <v>0</v>
      </c>
      <c r="H78" s="369">
        <f>+[4]OTCHET!H466+[4]OTCHET!H469</f>
        <v>0</v>
      </c>
      <c r="I78" s="369">
        <f>+[4]OTCHET!I466+[4]OTCHET!I469</f>
        <v>0</v>
      </c>
      <c r="J78" s="370">
        <f>+[4]OTCHET!J466+[4]OTCHET!J469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+[4]OTCHET!E467+[4]OTCHET!E470</f>
        <v>0</v>
      </c>
      <c r="F79" s="375">
        <f t="shared" si="1"/>
        <v>0</v>
      </c>
      <c r="G79" s="376">
        <f>+[4]OTCHET!G467+[4]OTCHET!G470</f>
        <v>0</v>
      </c>
      <c r="H79" s="377">
        <f>+[4]OTCHET!H467+[4]OTCHET!H470</f>
        <v>0</v>
      </c>
      <c r="I79" s="377">
        <f>+[4]OTCHET!I467+[4]OTCHET!I470</f>
        <v>0</v>
      </c>
      <c r="J79" s="378">
        <f>+[4]OTCHET!J467+[4]OTCHET!J470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[4]OTCHET!E471</f>
        <v>0</v>
      </c>
      <c r="F80" s="375">
        <f t="shared" si="1"/>
        <v>0</v>
      </c>
      <c r="G80" s="376">
        <f>[4]OTCHET!G471</f>
        <v>0</v>
      </c>
      <c r="H80" s="377">
        <f>[4]OTCHET!H471</f>
        <v>0</v>
      </c>
      <c r="I80" s="377">
        <f>[4]OTCHET!I471</f>
        <v>0</v>
      </c>
      <c r="J80" s="378">
        <f>[4]OTCHET!J471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+[4]OTCHET!E479</f>
        <v>0</v>
      </c>
      <c r="F82" s="375">
        <f t="shared" si="1"/>
        <v>0</v>
      </c>
      <c r="G82" s="376">
        <f>+[4]OTCHET!G479</f>
        <v>0</v>
      </c>
      <c r="H82" s="377">
        <f>+[4]OTCHET!H479</f>
        <v>0</v>
      </c>
      <c r="I82" s="377">
        <f>+[4]OTCHET!I479</f>
        <v>0</v>
      </c>
      <c r="J82" s="378">
        <f>+[4]OTCHET!J479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+[4]OTCHET!E480</f>
        <v>0</v>
      </c>
      <c r="F83" s="382">
        <f t="shared" si="1"/>
        <v>0</v>
      </c>
      <c r="G83" s="383">
        <f>+[4]OTCHET!G480</f>
        <v>0</v>
      </c>
      <c r="H83" s="384">
        <f>+[4]OTCHET!H480</f>
        <v>0</v>
      </c>
      <c r="I83" s="384">
        <f>+[4]OTCHET!I480</f>
        <v>0</v>
      </c>
      <c r="J83" s="385">
        <f>+[4]OTCHET!J480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[4]OTCHET!E535</f>
        <v>0</v>
      </c>
      <c r="F84" s="299">
        <f t="shared" si="1"/>
        <v>0</v>
      </c>
      <c r="G84" s="300">
        <f>[4]OTCHET!G535</f>
        <v>0</v>
      </c>
      <c r="H84" s="301">
        <f>[4]OTCHET!H535</f>
        <v>0</v>
      </c>
      <c r="I84" s="301">
        <f>[4]OTCHET!I535</f>
        <v>0</v>
      </c>
      <c r="J84" s="302">
        <f>[4]OTCHET!J535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[4]OTCHET!E536</f>
        <v>0</v>
      </c>
      <c r="F85" s="304">
        <f t="shared" si="1"/>
        <v>0</v>
      </c>
      <c r="G85" s="305">
        <f>[4]OTCHET!G536</f>
        <v>0</v>
      </c>
      <c r="H85" s="306">
        <f>[4]OTCHET!H536</f>
        <v>0</v>
      </c>
      <c r="I85" s="306">
        <f>[4]OTCHET!I536</f>
        <v>0</v>
      </c>
      <c r="J85" s="307">
        <f>[4]OTCHET!J536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-8524</v>
      </c>
      <c r="G86" s="310">
        <f t="shared" ref="G86:M86" si="11">+G87+G88</f>
        <v>-9324</v>
      </c>
      <c r="H86" s="311">
        <f>+H87+H88</f>
        <v>0</v>
      </c>
      <c r="I86" s="311">
        <f>+I87+I88</f>
        <v>0</v>
      </c>
      <c r="J86" s="312">
        <f>+J87+J88</f>
        <v>800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+[4]OTCHET!E503+[4]OTCHET!E512+[4]OTCHET!E516+[4]OTCHET!E543</f>
        <v>0</v>
      </c>
      <c r="F87" s="367">
        <f t="shared" si="1"/>
        <v>0</v>
      </c>
      <c r="G87" s="368">
        <f>+[4]OTCHET!G503+[4]OTCHET!G512+[4]OTCHET!G516+[4]OTCHET!G543</f>
        <v>0</v>
      </c>
      <c r="H87" s="369">
        <f>+[4]OTCHET!H503+[4]OTCHET!H512+[4]OTCHET!H516+[4]OTCHET!H543</f>
        <v>0</v>
      </c>
      <c r="I87" s="369">
        <f>+[4]OTCHET!I503+[4]OTCHET!I512+[4]OTCHET!I516+[4]OTCHET!I543</f>
        <v>0</v>
      </c>
      <c r="J87" s="370">
        <f>+[4]OTCHET!J503+[4]OTCHET!J512+[4]OTCHET!J516+[4]OTCHET!J543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+[4]OTCHET!E521+[4]OTCHET!E524+[4]OTCHET!E544</f>
        <v>0</v>
      </c>
      <c r="F88" s="382">
        <f t="shared" si="1"/>
        <v>-8524</v>
      </c>
      <c r="G88" s="383">
        <f>+[4]OTCHET!G521+[4]OTCHET!G524+[4]OTCHET!G544</f>
        <v>-9324</v>
      </c>
      <c r="H88" s="384">
        <f>+[4]OTCHET!H521+[4]OTCHET!H524+[4]OTCHET!H544</f>
        <v>0</v>
      </c>
      <c r="I88" s="384">
        <f>+[4]OTCHET!I521+[4]OTCHET!I524+[4]OTCHET!I544</f>
        <v>0</v>
      </c>
      <c r="J88" s="385">
        <f>+[4]OTCHET!J521+[4]OTCHET!J524+[4]OTCHET!J544</f>
        <v>800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[4]OTCHET!E531</f>
        <v>0</v>
      </c>
      <c r="F89" s="299">
        <f t="shared" ref="F89:F96" si="12">+G89+H89+I89+J89</f>
        <v>0</v>
      </c>
      <c r="G89" s="300">
        <f>[4]OTCHET!G531</f>
        <v>0</v>
      </c>
      <c r="H89" s="301">
        <f>[4]OTCHET!H531</f>
        <v>0</v>
      </c>
      <c r="I89" s="301">
        <f>[4]OTCHET!I531</f>
        <v>0</v>
      </c>
      <c r="J89" s="302">
        <f>[4]OTCHET!J531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+[4]OTCHET!E567+[4]OTCHET!E568+[4]OTCHET!E569+[4]OTCHET!E570+[4]OTCHET!E571+[4]OTCHET!E572</f>
        <v>0</v>
      </c>
      <c r="F90" s="304">
        <f t="shared" si="12"/>
        <v>0</v>
      </c>
      <c r="G90" s="305">
        <f>+[4]OTCHET!G567+[4]OTCHET!G568+[4]OTCHET!G569+[4]OTCHET!G570+[4]OTCHET!G571+[4]OTCHET!G572</f>
        <v>0</v>
      </c>
      <c r="H90" s="306">
        <f>+[4]OTCHET!H567+[4]OTCHET!H568+[4]OTCHET!H569+[4]OTCHET!H570+[4]OTCHET!H571+[4]OTCHET!H572</f>
        <v>0</v>
      </c>
      <c r="I90" s="306">
        <f>+[4]OTCHET!I567+[4]OTCHET!I568+[4]OTCHET!I569+[4]OTCHET!I570+[4]OTCHET!I571+[4]OTCHET!I572</f>
        <v>0</v>
      </c>
      <c r="J90" s="307">
        <f>+[4]OTCHET!J567+[4]OTCHET!J568+[4]OTCHET!J569+[4]OTCHET!J570+[4]OTCHET!J571+[4]OTCHET!J572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+[4]OTCHET!E573+[4]OTCHET!E574+[4]OTCHET!E575+[4]OTCHET!E576+[4]OTCHET!E577+[4]OTCHET!E578+[4]OTCHET!E579</f>
        <v>0</v>
      </c>
      <c r="F91" s="168">
        <f t="shared" si="12"/>
        <v>-324</v>
      </c>
      <c r="G91" s="169">
        <f>+[4]OTCHET!G573+[4]OTCHET!G574+[4]OTCHET!G575+[4]OTCHET!G576+[4]OTCHET!G577+[4]OTCHET!G578+[4]OTCHET!G579</f>
        <v>0</v>
      </c>
      <c r="H91" s="170">
        <f>+[4]OTCHET!H573+[4]OTCHET!H574+[4]OTCHET!H575+[4]OTCHET!H576+[4]OTCHET!H577+[4]OTCHET!H578+[4]OTCHET!H579</f>
        <v>0</v>
      </c>
      <c r="I91" s="170">
        <f>+[4]OTCHET!I573+[4]OTCHET!I574+[4]OTCHET!I575+[4]OTCHET!I576+[4]OTCHET!I577+[4]OTCHET!I578+[4]OTCHET!I579</f>
        <v>-324</v>
      </c>
      <c r="J91" s="171">
        <f>+[4]OTCHET!J573+[4]OTCHET!J574+[4]OTCHET!J575+[4]OTCHET!J576+[4]OTCHET!J577+[4]OTCHET!J578+[4]OTCHET!J579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+[4]OTCHET!E580</f>
        <v>0</v>
      </c>
      <c r="F92" s="168">
        <f t="shared" si="12"/>
        <v>0</v>
      </c>
      <c r="G92" s="169">
        <f>+[4]OTCHET!G580</f>
        <v>0</v>
      </c>
      <c r="H92" s="170">
        <f>+[4]OTCHET!H580</f>
        <v>0</v>
      </c>
      <c r="I92" s="170">
        <f>+[4]OTCHET!I580</f>
        <v>0</v>
      </c>
      <c r="J92" s="171">
        <f>+[4]OTCHET!J580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+[4]OTCHET!E587+[4]OTCHET!E588</f>
        <v>0</v>
      </c>
      <c r="F93" s="168">
        <f t="shared" si="12"/>
        <v>0</v>
      </c>
      <c r="G93" s="169">
        <f>+[4]OTCHET!G587+[4]OTCHET!G588</f>
        <v>0</v>
      </c>
      <c r="H93" s="170">
        <f>+[4]OTCHET!H587+[4]OTCHET!H588</f>
        <v>0</v>
      </c>
      <c r="I93" s="170">
        <f>+[4]OTCHET!I587+[4]OTCHET!I588</f>
        <v>0</v>
      </c>
      <c r="J93" s="171">
        <f>+[4]OTCHET!J587+[4]OTCHET!J588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+[4]OTCHET!E589+[4]OTCHET!E590</f>
        <v>0</v>
      </c>
      <c r="F94" s="168">
        <f t="shared" si="12"/>
        <v>0</v>
      </c>
      <c r="G94" s="169">
        <f>+[4]OTCHET!G589+[4]OTCHET!G590</f>
        <v>0</v>
      </c>
      <c r="H94" s="170">
        <f>+[4]OTCHET!H589+[4]OTCHET!H590</f>
        <v>0</v>
      </c>
      <c r="I94" s="170">
        <f>+[4]OTCHET!I589+[4]OTCHET!I590</f>
        <v>0</v>
      </c>
      <c r="J94" s="171">
        <f>+[4]OTCHET!J589+[4]OTCHET!J590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[4]OTCHET!E591</f>
        <v>0</v>
      </c>
      <c r="F95" s="120">
        <f t="shared" si="12"/>
        <v>0</v>
      </c>
      <c r="G95" s="121">
        <f>[4]OTCHET!G591</f>
        <v>-1800</v>
      </c>
      <c r="H95" s="122">
        <f>[4]OTCHET!H591</f>
        <v>0</v>
      </c>
      <c r="I95" s="122">
        <f>[4]OTCHET!I591</f>
        <v>1800</v>
      </c>
      <c r="J95" s="123">
        <f>[4]OTCHET!J591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+[4]OTCHET!E594</f>
        <v>0</v>
      </c>
      <c r="F96" s="396">
        <f t="shared" si="12"/>
        <v>0</v>
      </c>
      <c r="G96" s="397">
        <f>+[4]OTCHET!G594</f>
        <v>0</v>
      </c>
      <c r="H96" s="398">
        <f>+[4]OTCHET!H594</f>
        <v>0</v>
      </c>
      <c r="I96" s="398">
        <f>+[4]OTCHET!I594</f>
        <v>0</v>
      </c>
      <c r="J96" s="399">
        <f>+[4]OTCHET!J594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+[4]OTCHET!H605</f>
        <v>0</v>
      </c>
      <c r="C107" s="421"/>
      <c r="D107" s="421"/>
      <c r="E107" s="426"/>
      <c r="F107" s="19"/>
      <c r="G107" s="427">
        <f>+[4]OTCHET!E605</f>
        <v>0</v>
      </c>
      <c r="H107" s="427">
        <f>+[4]OTCHET!F605</f>
        <v>0</v>
      </c>
      <c r="I107" s="428"/>
      <c r="J107" s="429" t="str">
        <f>+[4]OTCHET!B605</f>
        <v>30.04.2023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88" priority="21" stopIfTrue="1" operator="notEqual">
      <formula>0</formula>
    </cfRule>
  </conditionalFormatting>
  <conditionalFormatting sqref="E105:J105">
    <cfRule type="cellIs" dxfId="187" priority="20" stopIfTrue="1" operator="notEqual">
      <formula>0</formula>
    </cfRule>
  </conditionalFormatting>
  <conditionalFormatting sqref="G107:H107 B107">
    <cfRule type="cellIs" dxfId="186" priority="19" stopIfTrue="1" operator="equal">
      <formula>0</formula>
    </cfRule>
  </conditionalFormatting>
  <conditionalFormatting sqref="I114 E110">
    <cfRule type="cellIs" dxfId="185" priority="18" stopIfTrue="1" operator="equal">
      <formula>0</formula>
    </cfRule>
  </conditionalFormatting>
  <conditionalFormatting sqref="J107">
    <cfRule type="cellIs" dxfId="184" priority="17" stopIfTrue="1" operator="equal">
      <formula>0</formula>
    </cfRule>
  </conditionalFormatting>
  <conditionalFormatting sqref="E114:F114">
    <cfRule type="cellIs" dxfId="183" priority="16" stopIfTrue="1" operator="equal">
      <formula>0</formula>
    </cfRule>
  </conditionalFormatting>
  <conditionalFormatting sqref="F15">
    <cfRule type="cellIs" dxfId="182" priority="11" stopIfTrue="1" operator="equal">
      <formula>"Чужди средства"</formula>
    </cfRule>
    <cfRule type="cellIs" dxfId="181" priority="12" stopIfTrue="1" operator="equal">
      <formula>"СЕС - ДМП"</formula>
    </cfRule>
    <cfRule type="cellIs" dxfId="180" priority="13" stopIfTrue="1" operator="equal">
      <formula>"СЕС - РА"</formula>
    </cfRule>
    <cfRule type="cellIs" dxfId="179" priority="14" stopIfTrue="1" operator="equal">
      <formula>"СЕС - ДЕС"</formula>
    </cfRule>
    <cfRule type="cellIs" dxfId="178" priority="15" stopIfTrue="1" operator="equal">
      <formula>"СЕС - КСФ"</formula>
    </cfRule>
  </conditionalFormatting>
  <conditionalFormatting sqref="B105">
    <cfRule type="cellIs" dxfId="177" priority="10" stopIfTrue="1" operator="notEqual">
      <formula>0</formula>
    </cfRule>
  </conditionalFormatting>
  <conditionalFormatting sqref="I11:J11">
    <cfRule type="cellIs" dxfId="176" priority="6" stopIfTrue="1" operator="between">
      <formula>1000000000000</formula>
      <formula>9999999999999990</formula>
    </cfRule>
    <cfRule type="cellIs" dxfId="175" priority="7" stopIfTrue="1" operator="between">
      <formula>10000000000</formula>
      <formula>999999999999</formula>
    </cfRule>
    <cfRule type="cellIs" dxfId="174" priority="8" stopIfTrue="1" operator="between">
      <formula>1000000</formula>
      <formula>99999999</formula>
    </cfRule>
    <cfRule type="cellIs" dxfId="173" priority="9" stopIfTrue="1" operator="between">
      <formula>100</formula>
      <formula>9999</formula>
    </cfRule>
  </conditionalFormatting>
  <conditionalFormatting sqref="E15">
    <cfRule type="cellIs" dxfId="172" priority="1" stopIfTrue="1" operator="equal">
      <formula>"Чужди средства"</formula>
    </cfRule>
    <cfRule type="cellIs" dxfId="171" priority="2" stopIfTrue="1" operator="equal">
      <formula>"СЕС - ДМП"</formula>
    </cfRule>
    <cfRule type="cellIs" dxfId="170" priority="3" stopIfTrue="1" operator="equal">
      <formula>"СЕС - РА"</formula>
    </cfRule>
    <cfRule type="cellIs" dxfId="169" priority="4" stopIfTrue="1" operator="equal">
      <formula>"СЕС - ДЕС"</formula>
    </cfRule>
    <cfRule type="cellIs" dxfId="168"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8"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+[5]OTCHET!B9</f>
        <v>РИОСВ - ПЛОВДИВ</v>
      </c>
      <c r="C11" s="22"/>
      <c r="D11" s="22"/>
      <c r="E11" s="23" t="s">
        <v>0</v>
      </c>
      <c r="F11" s="24">
        <f>[5]OTCHET!F9</f>
        <v>45077</v>
      </c>
      <c r="G11" s="25" t="s">
        <v>1</v>
      </c>
      <c r="H11" s="26">
        <f>+[5]OTCHET!H9</f>
        <v>471013</v>
      </c>
      <c r="I11" s="448">
        <f>+[5]OTCHET!I9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+[5]OTCHET!B12</f>
        <v>Министерство на околната среда и водите</v>
      </c>
      <c r="C13" s="31"/>
      <c r="D13" s="31"/>
      <c r="E13" s="35" t="str">
        <f>+[5]OTCHET!E12</f>
        <v>код по ЕБК:</v>
      </c>
      <c r="F13" s="36" t="str">
        <f>+[5]OTCHET!F12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+[5]OTCHET!E15</f>
        <v>0</v>
      </c>
      <c r="F15" s="41" t="str">
        <f>[5]OTCHET!F15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67386</v>
      </c>
      <c r="G22" s="103">
        <f t="shared" si="0"/>
        <v>68186</v>
      </c>
      <c r="H22" s="104">
        <f t="shared" si="0"/>
        <v>0</v>
      </c>
      <c r="I22" s="104">
        <f t="shared" si="0"/>
        <v>0</v>
      </c>
      <c r="J22" s="105">
        <f t="shared" si="0"/>
        <v>-800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[5]OTCHET!E22+[5]OTCHET!E28+[5]OTCHET!E33+[5]OTCHET!E39+[5]OTCHET!E47+[5]OTCHET!E52+[5]OTCHET!E58+[5]OTCHET!E61+[5]OTCHET!E64+[5]OTCHET!E65+[5]OTCHET!E72+[5]OTCHET!E73</f>
        <v>0</v>
      </c>
      <c r="F23" s="111">
        <f t="shared" ref="F23:F88" si="1">+G23+H23+I23+J23</f>
        <v>0</v>
      </c>
      <c r="G23" s="112">
        <f>[5]OTCHET!G22+[5]OTCHET!G28+[5]OTCHET!G33+[5]OTCHET!G39+[5]OTCHET!G47+[5]OTCHET!G52+[5]OTCHET!G58+[5]OTCHET!G61+[5]OTCHET!G64+[5]OTCHET!G65+[5]OTCHET!G72+[5]OTCHET!G73</f>
        <v>0</v>
      </c>
      <c r="H23" s="113">
        <f>[5]OTCHET!H22+[5]OTCHET!H28+[5]OTCHET!H33+[5]OTCHET!H39+[5]OTCHET!H47+[5]OTCHET!H52+[5]OTCHET!H58+[5]OTCHET!H61+[5]OTCHET!H64+[5]OTCHET!H65+[5]OTCHET!H72+[5]OTCHET!H73</f>
        <v>0</v>
      </c>
      <c r="I23" s="113">
        <f>[5]OTCHET!I22+[5]OTCHET!I28+[5]OTCHET!I33+[5]OTCHET!I39+[5]OTCHET!I47+[5]OTCHET!I52+[5]OTCHET!I58+[5]OTCHET!I61+[5]OTCHET!I64+[5]OTCHET!I65+[5]OTCHET!I72+[5]OTCHET!I73</f>
        <v>0</v>
      </c>
      <c r="J23" s="114">
        <f>[5]OTCHET!J22+[5]OTCHET!J28+[5]OTCHET!J33+[5]OTCHET!J39+[5]OTCHET!J47+[5]OTCHET!J52+[5]OTCHET!J58+[5]OTCHET!J61+[5]OTCHET!J64+[5]OTCHET!J65+[5]OTCHET!J72+[5]OTCHET!J73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67386</v>
      </c>
      <c r="G25" s="128">
        <f t="shared" ref="G25:M25" si="2">+G26+G30+G31+G32+G33</f>
        <v>68186</v>
      </c>
      <c r="H25" s="129">
        <f>+H26+H30+H31+H32+H33</f>
        <v>0</v>
      </c>
      <c r="I25" s="129">
        <f>+I26+I30+I31+I32+I33</f>
        <v>0</v>
      </c>
      <c r="J25" s="130">
        <f>+J26+J30+J31+J32+J33</f>
        <v>-800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[5]OTCHET!E74</f>
        <v>0</v>
      </c>
      <c r="F26" s="133">
        <f t="shared" si="1"/>
        <v>0</v>
      </c>
      <c r="G26" s="134">
        <f>[5]OTCHET!G74</f>
        <v>0</v>
      </c>
      <c r="H26" s="135">
        <f>[5]OTCHET!H74</f>
        <v>0</v>
      </c>
      <c r="I26" s="135">
        <f>[5]OTCHET!I74</f>
        <v>0</v>
      </c>
      <c r="J26" s="136">
        <f>[5]OTCHET!J74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[5]OTCHET!E75</f>
        <v>0</v>
      </c>
      <c r="F27" s="140">
        <f t="shared" si="1"/>
        <v>0</v>
      </c>
      <c r="G27" s="141">
        <f>[5]OTCHET!G75</f>
        <v>0</v>
      </c>
      <c r="H27" s="142">
        <f>[5]OTCHET!H75</f>
        <v>0</v>
      </c>
      <c r="I27" s="142">
        <f>[5]OTCHET!I75</f>
        <v>0</v>
      </c>
      <c r="J27" s="143">
        <f>[5]OTCHET!J75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[5]OTCHET!E77</f>
        <v>0</v>
      </c>
      <c r="F28" s="148">
        <f t="shared" si="1"/>
        <v>0</v>
      </c>
      <c r="G28" s="149">
        <f>[5]OTCHET!G77</f>
        <v>0</v>
      </c>
      <c r="H28" s="150">
        <f>[5]OTCHET!H77</f>
        <v>0</v>
      </c>
      <c r="I28" s="150">
        <f>[5]OTCHET!I77</f>
        <v>0</v>
      </c>
      <c r="J28" s="151">
        <f>[5]OTCHET!J77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+[5]OTCHET!E78+[5]OTCHET!E79</f>
        <v>0</v>
      </c>
      <c r="F29" s="156">
        <f t="shared" si="1"/>
        <v>0</v>
      </c>
      <c r="G29" s="157">
        <f>+[5]OTCHET!G78+[5]OTCHET!G79</f>
        <v>0</v>
      </c>
      <c r="H29" s="158">
        <f>+[5]OTCHET!H78+[5]OTCHET!H79</f>
        <v>0</v>
      </c>
      <c r="I29" s="158">
        <f>+[5]OTCHET!I78+[5]OTCHET!I79</f>
        <v>0</v>
      </c>
      <c r="J29" s="159">
        <f>+[5]OTCHET!J78+[5]OTCHET!J79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[5]OTCHET!E90+[5]OTCHET!E93+[5]OTCHET!E94</f>
        <v>0</v>
      </c>
      <c r="F30" s="162">
        <f t="shared" si="1"/>
        <v>62472</v>
      </c>
      <c r="G30" s="163">
        <f>[5]OTCHET!G90+[5]OTCHET!G93+[5]OTCHET!G94</f>
        <v>62472</v>
      </c>
      <c r="H30" s="164">
        <f>[5]OTCHET!H90+[5]OTCHET!H93+[5]OTCHET!H94</f>
        <v>0</v>
      </c>
      <c r="I30" s="164">
        <f>[5]OTCHET!I90+[5]OTCHET!I93+[5]OTCHET!I94</f>
        <v>0</v>
      </c>
      <c r="J30" s="165">
        <f>[5]OTCHET!J90+[5]OTCHET!J93+[5]OTCHET!J94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[5]OTCHET!E106</f>
        <v>0</v>
      </c>
      <c r="F31" s="168">
        <f t="shared" si="1"/>
        <v>4834</v>
      </c>
      <c r="G31" s="169">
        <f>[5]OTCHET!G106</f>
        <v>4834</v>
      </c>
      <c r="H31" s="170">
        <f>[5]OTCHET!H106</f>
        <v>0</v>
      </c>
      <c r="I31" s="170">
        <f>[5]OTCHET!I106</f>
        <v>0</v>
      </c>
      <c r="J31" s="171">
        <f>[5]OTCHET!J106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[5]OTCHET!E110+[5]OTCHET!E119+[5]OTCHET!E135+[5]OTCHET!E136</f>
        <v>0</v>
      </c>
      <c r="F32" s="168">
        <f t="shared" si="1"/>
        <v>80</v>
      </c>
      <c r="G32" s="169">
        <f>[5]OTCHET!G110+[5]OTCHET!G119+[5]OTCHET!G135+[5]OTCHET!G136</f>
        <v>880</v>
      </c>
      <c r="H32" s="170">
        <f>[5]OTCHET!H110+[5]OTCHET!H119+[5]OTCHET!H135+[5]OTCHET!H136</f>
        <v>0</v>
      </c>
      <c r="I32" s="170">
        <f>[5]OTCHET!I110+[5]OTCHET!I119+[5]OTCHET!I135+[5]OTCHET!I136</f>
        <v>0</v>
      </c>
      <c r="J32" s="171">
        <f>[5]OTCHET!J110+[5]OTCHET!J119+[5]OTCHET!J135+[5]OTCHET!J136</f>
        <v>-800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[5]OTCHET!E123</f>
        <v>0</v>
      </c>
      <c r="F33" s="120">
        <f t="shared" si="1"/>
        <v>0</v>
      </c>
      <c r="G33" s="121">
        <f>[5]OTCHET!G123</f>
        <v>0</v>
      </c>
      <c r="H33" s="122">
        <f>[5]OTCHET!H123</f>
        <v>0</v>
      </c>
      <c r="I33" s="122">
        <f>[5]OTCHET!I123</f>
        <v>0</v>
      </c>
      <c r="J33" s="123">
        <f>[5]OTCHET!J123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+[5]OTCHET!E137</f>
        <v>0</v>
      </c>
      <c r="F36" s="191">
        <f t="shared" si="1"/>
        <v>0</v>
      </c>
      <c r="G36" s="192">
        <f>+[5]OTCHET!G137</f>
        <v>0</v>
      </c>
      <c r="H36" s="193">
        <f>+[5]OTCHET!H137</f>
        <v>0</v>
      </c>
      <c r="I36" s="193">
        <f>+[5]OTCHET!I137</f>
        <v>0</v>
      </c>
      <c r="J36" s="194">
        <f>+[5]OTCHET!J137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[5]OTCHET!E140+[5]OTCHET!E149+[5]OTCHET!E158</f>
        <v>0</v>
      </c>
      <c r="F37" s="199">
        <f t="shared" si="1"/>
        <v>0</v>
      </c>
      <c r="G37" s="200">
        <f>[5]OTCHET!G140+[5]OTCHET!G149+[5]OTCHET!G158</f>
        <v>0</v>
      </c>
      <c r="H37" s="201">
        <f>[5]OTCHET!H140+[5]OTCHET!H149+[5]OTCHET!H158</f>
        <v>0</v>
      </c>
      <c r="I37" s="201">
        <f>[5]OTCHET!I140+[5]OTCHET!I149+[5]OTCHET!I158</f>
        <v>0</v>
      </c>
      <c r="J37" s="202">
        <f>[5]OTCHET!J140+[5]OTCHET!J149+[5]OTCHET!J158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520877</v>
      </c>
      <c r="G38" s="210">
        <f t="shared" si="3"/>
        <v>378833</v>
      </c>
      <c r="H38" s="211">
        <f t="shared" si="3"/>
        <v>0</v>
      </c>
      <c r="I38" s="211">
        <f t="shared" si="3"/>
        <v>1730</v>
      </c>
      <c r="J38" s="212">
        <f t="shared" si="3"/>
        <v>140314</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472063</v>
      </c>
      <c r="G39" s="222">
        <f t="shared" si="4"/>
        <v>331749</v>
      </c>
      <c r="H39" s="223">
        <f t="shared" si="4"/>
        <v>0</v>
      </c>
      <c r="I39" s="223">
        <f t="shared" si="4"/>
        <v>0</v>
      </c>
      <c r="J39" s="224">
        <f t="shared" si="4"/>
        <v>140314</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[5]OTCHET!E187</f>
        <v>0</v>
      </c>
      <c r="F40" s="229">
        <f t="shared" si="1"/>
        <v>314410</v>
      </c>
      <c r="G40" s="230">
        <f>[5]OTCHET!G187</f>
        <v>278270</v>
      </c>
      <c r="H40" s="231">
        <f>[5]OTCHET!H187</f>
        <v>0</v>
      </c>
      <c r="I40" s="231">
        <f>[5]OTCHET!I187</f>
        <v>0</v>
      </c>
      <c r="J40" s="232">
        <f>[5]OTCHET!J187</f>
        <v>36140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[5]OTCHET!E190</f>
        <v>0</v>
      </c>
      <c r="F41" s="237">
        <f t="shared" si="1"/>
        <v>56995</v>
      </c>
      <c r="G41" s="238">
        <f>[5]OTCHET!G190</f>
        <v>53479</v>
      </c>
      <c r="H41" s="239">
        <f>[5]OTCHET!H190</f>
        <v>0</v>
      </c>
      <c r="I41" s="239">
        <f>[5]OTCHET!I190</f>
        <v>0</v>
      </c>
      <c r="J41" s="240">
        <f>[5]OTCHET!J190</f>
        <v>3516</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+[5]OTCHET!E196+[5]OTCHET!E204</f>
        <v>0</v>
      </c>
      <c r="F42" s="244">
        <f t="shared" si="1"/>
        <v>100658</v>
      </c>
      <c r="G42" s="245">
        <f>+[5]OTCHET!G196+[5]OTCHET!G204</f>
        <v>0</v>
      </c>
      <c r="H42" s="246">
        <f>+[5]OTCHET!H196+[5]OTCHET!H204</f>
        <v>0</v>
      </c>
      <c r="I42" s="246">
        <f>+[5]OTCHET!I196+[5]OTCHET!I204</f>
        <v>0</v>
      </c>
      <c r="J42" s="247">
        <f>+[5]OTCHET!J196+[5]OTCHET!J204</f>
        <v>100658</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+[5]OTCHET!E205+[5]OTCHET!E223+[5]OTCHET!E271</f>
        <v>0</v>
      </c>
      <c r="F43" s="250">
        <f t="shared" si="1"/>
        <v>48814</v>
      </c>
      <c r="G43" s="251">
        <f>+[5]OTCHET!G205+[5]OTCHET!G223+[5]OTCHET!G271</f>
        <v>47084</v>
      </c>
      <c r="H43" s="252">
        <f>+[5]OTCHET!H205+[5]OTCHET!H223+[5]OTCHET!H271</f>
        <v>0</v>
      </c>
      <c r="I43" s="252">
        <f>+[5]OTCHET!I205+[5]OTCHET!I223+[5]OTCHET!I271</f>
        <v>1730</v>
      </c>
      <c r="J43" s="253">
        <f>+[5]OTCHET!J205+[5]OTCHET!J223+[5]OTCHET!J271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+[5]OTCHET!E227+[5]OTCHET!E233+[5]OTCHET!E236+[5]OTCHET!E237+[5]OTCHET!E238+[5]OTCHET!E239+[5]OTCHET!E240</f>
        <v>0</v>
      </c>
      <c r="F44" s="120">
        <f t="shared" si="1"/>
        <v>0</v>
      </c>
      <c r="G44" s="121">
        <f>+[5]OTCHET!G227+[5]OTCHET!G233+[5]OTCHET!G236+[5]OTCHET!G237+[5]OTCHET!G238+[5]OTCHET!G239+[5]OTCHET!G240</f>
        <v>0</v>
      </c>
      <c r="H44" s="122">
        <f>+[5]OTCHET!H227+[5]OTCHET!H233+[5]OTCHET!H236+[5]OTCHET!H237+[5]OTCHET!H238+[5]OTCHET!H239+[5]OTCHET!H240</f>
        <v>0</v>
      </c>
      <c r="I44" s="122">
        <f>+[5]OTCHET!I227+[5]OTCHET!I233+[5]OTCHET!I236+[5]OTCHET!I237+[5]OTCHET!I238+[5]OTCHET!I239+[5]OTCHET!I240</f>
        <v>0</v>
      </c>
      <c r="J44" s="123">
        <f>+[5]OTCHET!J227+[5]OTCHET!J233+[5]OTCHET!J236+[5]OTCHET!J237+[5]OTCHET!J238+[5]OTCHET!J239+[5]OTCHET!J240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+[5]OTCHET!E236+[5]OTCHET!E237+[5]OTCHET!E238+[5]OTCHET!E239+[5]OTCHET!E243+[5]OTCHET!E244+[5]OTCHET!E248</f>
        <v>0</v>
      </c>
      <c r="F45" s="256">
        <f t="shared" si="1"/>
        <v>0</v>
      </c>
      <c r="G45" s="257">
        <f>+[5]OTCHET!G236+[5]OTCHET!G237+[5]OTCHET!G238+[5]OTCHET!G239+[5]OTCHET!G243+[5]OTCHET!G244+[5]OTCHET!G248</f>
        <v>0</v>
      </c>
      <c r="H45" s="258">
        <f>+[5]OTCHET!H236+[5]OTCHET!H237+[5]OTCHET!H238+[5]OTCHET!H239+[5]OTCHET!H243+[5]OTCHET!H244+[5]OTCHET!H248</f>
        <v>0</v>
      </c>
      <c r="I45" s="259">
        <f>+[5]OTCHET!I236+[5]OTCHET!I237+[5]OTCHET!I238+[5]OTCHET!I239+[5]OTCHET!I243+[5]OTCHET!I244+[5]OTCHET!I248</f>
        <v>0</v>
      </c>
      <c r="J45" s="260">
        <f>+[5]OTCHET!J236+[5]OTCHET!J237+[5]OTCHET!J238+[5]OTCHET!J239+[5]OTCHET!J243+[5]OTCHET!J244+[5]OTCHET!J248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+[5]OTCHET!E255+[5]OTCHET!E256+[5]OTCHET!E257+[5]OTCHET!E258</f>
        <v>0</v>
      </c>
      <c r="F46" s="250">
        <f t="shared" si="1"/>
        <v>0</v>
      </c>
      <c r="G46" s="251">
        <f>+[5]OTCHET!G255+[5]OTCHET!G256+[5]OTCHET!G257+[5]OTCHET!G258</f>
        <v>0</v>
      </c>
      <c r="H46" s="252">
        <f>+[5]OTCHET!H255+[5]OTCHET!H256+[5]OTCHET!H257+[5]OTCHET!H258</f>
        <v>0</v>
      </c>
      <c r="I46" s="252">
        <f>+[5]OTCHET!I255+[5]OTCHET!I256+[5]OTCHET!I257+[5]OTCHET!I258</f>
        <v>0</v>
      </c>
      <c r="J46" s="253">
        <f>+[5]OTCHET!J255+[5]OTCHET!J256+[5]OTCHET!J257+[5]OTCHET!J258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+[5]OTCHET!E256</f>
        <v>0</v>
      </c>
      <c r="F47" s="256">
        <f t="shared" si="1"/>
        <v>0</v>
      </c>
      <c r="G47" s="257">
        <f>+[5]OTCHET!G256</f>
        <v>0</v>
      </c>
      <c r="H47" s="258">
        <f>+[5]OTCHET!H256</f>
        <v>0</v>
      </c>
      <c r="I47" s="259">
        <f>+[5]OTCHET!I256</f>
        <v>0</v>
      </c>
      <c r="J47" s="260">
        <f>+[5]OTCHET!J256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+[5]OTCHET!E265+[5]OTCHET!E269+[5]OTCHET!E270</f>
        <v>0</v>
      </c>
      <c r="F48" s="168">
        <f t="shared" si="1"/>
        <v>0</v>
      </c>
      <c r="G48" s="163">
        <f>+[5]OTCHET!G265+[5]OTCHET!G269+[5]OTCHET!G270</f>
        <v>0</v>
      </c>
      <c r="H48" s="164">
        <f>+[5]OTCHET!H265+[5]OTCHET!H269+[5]OTCHET!H270</f>
        <v>0</v>
      </c>
      <c r="I48" s="164">
        <f>+[5]OTCHET!I265+[5]OTCHET!I269+[5]OTCHET!I270</f>
        <v>0</v>
      </c>
      <c r="J48" s="165">
        <f>+[5]OTCHET!J265+[5]OTCHET!J269+[5]OTCHET!J270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[5]OTCHET!E275+[5]OTCHET!E276+[5]OTCHET!E284+[5]OTCHET!E287</f>
        <v>0</v>
      </c>
      <c r="F49" s="168">
        <f t="shared" si="1"/>
        <v>0</v>
      </c>
      <c r="G49" s="169">
        <f>[5]OTCHET!G275+[5]OTCHET!G276+[5]OTCHET!G284+[5]OTCHET!G287</f>
        <v>0</v>
      </c>
      <c r="H49" s="170">
        <f>[5]OTCHET!H275+[5]OTCHET!H276+[5]OTCHET!H284+[5]OTCHET!H287</f>
        <v>0</v>
      </c>
      <c r="I49" s="170">
        <f>[5]OTCHET!I275+[5]OTCHET!I276+[5]OTCHET!I284+[5]OTCHET!I287</f>
        <v>0</v>
      </c>
      <c r="J49" s="171">
        <f>[5]OTCHET!J275+[5]OTCHET!J276+[5]OTCHET!J284+[5]OTCHET!J287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+[5]OTCHET!E288</f>
        <v>0</v>
      </c>
      <c r="F50" s="168">
        <f t="shared" si="1"/>
        <v>0</v>
      </c>
      <c r="G50" s="169">
        <f>+[5]OTCHET!G288</f>
        <v>0</v>
      </c>
      <c r="H50" s="170">
        <f>+[5]OTCHET!H288</f>
        <v>0</v>
      </c>
      <c r="I50" s="170">
        <f>+[5]OTCHET!I288</f>
        <v>0</v>
      </c>
      <c r="J50" s="171">
        <f>+[5]OTCHET!J288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+[5]OTCHET!E272</f>
        <v>0</v>
      </c>
      <c r="F51" s="120">
        <f>+G51+H51+I51+J51</f>
        <v>0</v>
      </c>
      <c r="G51" s="121">
        <f>+[5]OTCHET!G272</f>
        <v>0</v>
      </c>
      <c r="H51" s="122">
        <f>+[5]OTCHET!H272</f>
        <v>0</v>
      </c>
      <c r="I51" s="122">
        <f>+[5]OTCHET!I272</f>
        <v>0</v>
      </c>
      <c r="J51" s="123">
        <f>+[5]OTCHET!J272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+[5]OTCHET!E293</f>
        <v>0</v>
      </c>
      <c r="F52" s="120">
        <f t="shared" si="1"/>
        <v>0</v>
      </c>
      <c r="G52" s="121">
        <f>+[5]OTCHET!G293</f>
        <v>0</v>
      </c>
      <c r="H52" s="122">
        <f>+[5]OTCHET!H293</f>
        <v>0</v>
      </c>
      <c r="I52" s="122">
        <f>+[5]OTCHET!I293</f>
        <v>0</v>
      </c>
      <c r="J52" s="123">
        <f>+[5]OTCHET!J293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[5]OTCHET!E294</f>
        <v>0</v>
      </c>
      <c r="F53" s="267">
        <f t="shared" si="1"/>
        <v>0</v>
      </c>
      <c r="G53" s="268">
        <f>[5]OTCHET!G294</f>
        <v>0</v>
      </c>
      <c r="H53" s="269">
        <f>[5]OTCHET!H294</f>
        <v>0</v>
      </c>
      <c r="I53" s="269">
        <f>[5]OTCHET!I294</f>
        <v>0</v>
      </c>
      <c r="J53" s="270">
        <f>[5]OTCHET!J294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[5]OTCHET!E296</f>
        <v>0</v>
      </c>
      <c r="F54" s="275">
        <f t="shared" si="1"/>
        <v>0</v>
      </c>
      <c r="G54" s="276">
        <f>[5]OTCHET!G296</f>
        <v>0</v>
      </c>
      <c r="H54" s="277">
        <f>[5]OTCHET!H296</f>
        <v>0</v>
      </c>
      <c r="I54" s="277">
        <f>[5]OTCHET!I296</f>
        <v>0</v>
      </c>
      <c r="J54" s="278">
        <f>[5]OTCHET!J296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+[5]OTCHET!E297</f>
        <v>0</v>
      </c>
      <c r="F55" s="284">
        <f t="shared" si="1"/>
        <v>0</v>
      </c>
      <c r="G55" s="285">
        <f>+[5]OTCHET!G297</f>
        <v>0</v>
      </c>
      <c r="H55" s="286">
        <f>+[5]OTCHET!H297</f>
        <v>0</v>
      </c>
      <c r="I55" s="286">
        <f>+[5]OTCHET!I297</f>
        <v>0</v>
      </c>
      <c r="J55" s="287">
        <f>+[5]OTCHET!J297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470787</v>
      </c>
      <c r="G56" s="294">
        <f t="shared" si="5"/>
        <v>330473</v>
      </c>
      <c r="H56" s="295">
        <f t="shared" si="5"/>
        <v>0</v>
      </c>
      <c r="I56" s="296">
        <f t="shared" si="5"/>
        <v>0</v>
      </c>
      <c r="J56" s="297">
        <f t="shared" si="5"/>
        <v>140314</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+[5]OTCHET!E361+[5]OTCHET!E375+[5]OTCHET!E388</f>
        <v>0</v>
      </c>
      <c r="F57" s="299">
        <f t="shared" si="1"/>
        <v>0</v>
      </c>
      <c r="G57" s="300">
        <f>+[5]OTCHET!G361+[5]OTCHET!G375+[5]OTCHET!G388</f>
        <v>0</v>
      </c>
      <c r="H57" s="301">
        <f>+[5]OTCHET!H361+[5]OTCHET!H375+[5]OTCHET!H388</f>
        <v>0</v>
      </c>
      <c r="I57" s="301">
        <f>+[5]OTCHET!I361+[5]OTCHET!I375+[5]OTCHET!I388</f>
        <v>0</v>
      </c>
      <c r="J57" s="302">
        <f>+[5]OTCHET!J361+[5]OTCHET!J375+[5]OTCHET!J388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+[5]OTCHET!E383+[5]OTCHET!E391+[5]OTCHET!E396+[5]OTCHET!E399+[5]OTCHET!E402+[5]OTCHET!E405+[5]OTCHET!E406+[5]OTCHET!E409+[5]OTCHET!E422+[5]OTCHET!E423+[5]OTCHET!E424+[5]OTCHET!E425+[5]OTCHET!E426</f>
        <v>0</v>
      </c>
      <c r="F58" s="304">
        <f t="shared" si="1"/>
        <v>330473</v>
      </c>
      <c r="G58" s="305">
        <f>+[5]OTCHET!G383+[5]OTCHET!G391+[5]OTCHET!G396+[5]OTCHET!G399+[5]OTCHET!G402+[5]OTCHET!G405+[5]OTCHET!G406+[5]OTCHET!G409+[5]OTCHET!G422+[5]OTCHET!G423+[5]OTCHET!G424+[5]OTCHET!G425+[5]OTCHET!G426</f>
        <v>330473</v>
      </c>
      <c r="H58" s="306">
        <f>+[5]OTCHET!H383+[5]OTCHET!H391+[5]OTCHET!H396+[5]OTCHET!H399+[5]OTCHET!H402+[5]OTCHET!H405+[5]OTCHET!H406+[5]OTCHET!H409+[5]OTCHET!H422+[5]OTCHET!H423+[5]OTCHET!H424+[5]OTCHET!H425+[5]OTCHET!H426</f>
        <v>0</v>
      </c>
      <c r="I58" s="306">
        <f>+[5]OTCHET!I383+[5]OTCHET!I391+[5]OTCHET!I396+[5]OTCHET!I399+[5]OTCHET!I402+[5]OTCHET!I405+[5]OTCHET!I406+[5]OTCHET!I409+[5]OTCHET!I422+[5]OTCHET!I423+[5]OTCHET!I424+[5]OTCHET!I425+[5]OTCHET!I426</f>
        <v>0</v>
      </c>
      <c r="J58" s="307">
        <f>+[5]OTCHET!J383+[5]OTCHET!J391+[5]OTCHET!J396+[5]OTCHET!J399+[5]OTCHET!J402+[5]OTCHET!J405+[5]OTCHET!J406+[5]OTCHET!J409+[5]OTCHET!J422+[5]OTCHET!J423+[5]OTCHET!J424+[5]OTCHET!J425+[5]OTCHET!J426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+[5]OTCHET!E422+[5]OTCHET!E423+[5]OTCHET!E424+[5]OTCHET!E425+[5]OTCHET!E426</f>
        <v>0</v>
      </c>
      <c r="F59" s="309">
        <f t="shared" si="1"/>
        <v>0</v>
      </c>
      <c r="G59" s="310">
        <f>+[5]OTCHET!G422+[5]OTCHET!G423+[5]OTCHET!G424+[5]OTCHET!G425+[5]OTCHET!G426</f>
        <v>0</v>
      </c>
      <c r="H59" s="311">
        <f>+[5]OTCHET!H422+[5]OTCHET!H423+[5]OTCHET!H424+[5]OTCHET!H425+[5]OTCHET!H426</f>
        <v>0</v>
      </c>
      <c r="I59" s="311">
        <f>+[5]OTCHET!I422+[5]OTCHET!I423+[5]OTCHET!I424+[5]OTCHET!I425+[5]OTCHET!I426</f>
        <v>0</v>
      </c>
      <c r="J59" s="312">
        <f>+[5]OTCHET!J422+[5]OTCHET!J423+[5]OTCHET!J424+[5]OTCHET!J425+[5]OTCHET!J426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[5]OTCHET!E405</f>
        <v>0</v>
      </c>
      <c r="F60" s="316">
        <f t="shared" si="1"/>
        <v>0</v>
      </c>
      <c r="G60" s="317">
        <f>[5]OTCHET!G405</f>
        <v>0</v>
      </c>
      <c r="H60" s="318">
        <f>[5]OTCHET!H405</f>
        <v>0</v>
      </c>
      <c r="I60" s="318">
        <f>[5]OTCHET!I405</f>
        <v>0</v>
      </c>
      <c r="J60" s="319">
        <f>[5]OTCHET!J405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[5]OTCHET!E412</f>
        <v>0</v>
      </c>
      <c r="F62" s="199">
        <f t="shared" si="1"/>
        <v>140314</v>
      </c>
      <c r="G62" s="200">
        <f>[5]OTCHET!G412</f>
        <v>0</v>
      </c>
      <c r="H62" s="201">
        <f>[5]OTCHET!H412</f>
        <v>0</v>
      </c>
      <c r="I62" s="201">
        <f>[5]OTCHET!I412</f>
        <v>0</v>
      </c>
      <c r="J62" s="202">
        <f>[5]OTCHET!J412</f>
        <v>140314</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+[5]OTCHET!E249</f>
        <v>0</v>
      </c>
      <c r="F63" s="328">
        <f t="shared" si="1"/>
        <v>0</v>
      </c>
      <c r="G63" s="329">
        <f>+[5]OTCHET!G249</f>
        <v>0</v>
      </c>
      <c r="H63" s="330">
        <f>+[5]OTCHET!H249</f>
        <v>0</v>
      </c>
      <c r="I63" s="330">
        <f>+[5]OTCHET!I249</f>
        <v>0</v>
      </c>
      <c r="J63" s="331">
        <f>+[5]OTCHET!J249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17296</v>
      </c>
      <c r="G64" s="337">
        <f t="shared" si="6"/>
        <v>19826</v>
      </c>
      <c r="H64" s="338">
        <f t="shared" si="6"/>
        <v>0</v>
      </c>
      <c r="I64" s="338">
        <f t="shared" si="6"/>
        <v>-1730</v>
      </c>
      <c r="J64" s="339">
        <f t="shared" si="6"/>
        <v>-800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-17296</v>
      </c>
      <c r="G66" s="349">
        <f t="shared" ref="G66:L66" si="8">SUM(+G68+G76+G77+G84+G85+G86+G89+G90+G91+G92+G93+G94+G95)</f>
        <v>-19826</v>
      </c>
      <c r="H66" s="350">
        <f>SUM(+H68+H76+H77+H84+H85+H86+H89+H90+H91+H92+H93+H94+H95)</f>
        <v>0</v>
      </c>
      <c r="I66" s="350">
        <f>SUM(+I68+I76+I77+I84+I85+I86+I89+I90+I91+I92+I93+I94+I95)</f>
        <v>1730</v>
      </c>
      <c r="J66" s="351">
        <f>SUM(+J68+J76+J77+J84+J85+J86+J89+J90+J91+J92+J93+J94+J95)</f>
        <v>800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+[5]OTCHET!E482+[5]OTCHET!E483+[5]OTCHET!E486+[5]OTCHET!E487+[5]OTCHET!E490+[5]OTCHET!E491+[5]OTCHET!E495</f>
        <v>0</v>
      </c>
      <c r="F69" s="367">
        <f t="shared" si="1"/>
        <v>0</v>
      </c>
      <c r="G69" s="368">
        <f>+[5]OTCHET!G482+[5]OTCHET!G483+[5]OTCHET!G486+[5]OTCHET!G487+[5]OTCHET!G490+[5]OTCHET!G491+[5]OTCHET!G495</f>
        <v>0</v>
      </c>
      <c r="H69" s="369">
        <f>+[5]OTCHET!H482+[5]OTCHET!H483+[5]OTCHET!H486+[5]OTCHET!H487+[5]OTCHET!H490+[5]OTCHET!H491+[5]OTCHET!H495</f>
        <v>0</v>
      </c>
      <c r="I69" s="369">
        <f>+[5]OTCHET!I482+[5]OTCHET!I483+[5]OTCHET!I486+[5]OTCHET!I487+[5]OTCHET!I490+[5]OTCHET!I491+[5]OTCHET!I495</f>
        <v>0</v>
      </c>
      <c r="J69" s="370">
        <f>+[5]OTCHET!J482+[5]OTCHET!J483+[5]OTCHET!J486+[5]OTCHET!J487+[5]OTCHET!J490+[5]OTCHET!J491+[5]OTCHET!J495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+[5]OTCHET!E484+[5]OTCHET!E485+[5]OTCHET!E488+[5]OTCHET!E489+[5]OTCHET!E492+[5]OTCHET!E493+[5]OTCHET!E494+[5]OTCHET!E496</f>
        <v>0</v>
      </c>
      <c r="F70" s="375">
        <f t="shared" si="1"/>
        <v>0</v>
      </c>
      <c r="G70" s="376">
        <f>+[5]OTCHET!G484+[5]OTCHET!G485+[5]OTCHET!G488+[5]OTCHET!G489+[5]OTCHET!G492+[5]OTCHET!G493+[5]OTCHET!G494+[5]OTCHET!G496</f>
        <v>0</v>
      </c>
      <c r="H70" s="377">
        <f>+[5]OTCHET!H484+[5]OTCHET!H485+[5]OTCHET!H488+[5]OTCHET!H489+[5]OTCHET!H492+[5]OTCHET!H493+[5]OTCHET!H494+[5]OTCHET!H496</f>
        <v>0</v>
      </c>
      <c r="I70" s="377">
        <f>+[5]OTCHET!I484+[5]OTCHET!I485+[5]OTCHET!I488+[5]OTCHET!I489+[5]OTCHET!I492+[5]OTCHET!I493+[5]OTCHET!I494+[5]OTCHET!I496</f>
        <v>0</v>
      </c>
      <c r="J70" s="378">
        <f>+[5]OTCHET!J484+[5]OTCHET!J485+[5]OTCHET!J488+[5]OTCHET!J489+[5]OTCHET!J492+[5]OTCHET!J493+[5]OTCHET!J494+[5]OTCHET!J496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+[5]OTCHET!E497</f>
        <v>0</v>
      </c>
      <c r="F71" s="375">
        <f t="shared" si="1"/>
        <v>0</v>
      </c>
      <c r="G71" s="376">
        <f>+[5]OTCHET!G497</f>
        <v>0</v>
      </c>
      <c r="H71" s="377">
        <f>+[5]OTCHET!H497</f>
        <v>0</v>
      </c>
      <c r="I71" s="377">
        <f>+[5]OTCHET!I497</f>
        <v>0</v>
      </c>
      <c r="J71" s="378">
        <f>+[5]OTCHET!J497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+[5]OTCHET!E502</f>
        <v>0</v>
      </c>
      <c r="F72" s="375">
        <f t="shared" si="1"/>
        <v>0</v>
      </c>
      <c r="G72" s="376">
        <f>+[5]OTCHET!G502</f>
        <v>0</v>
      </c>
      <c r="H72" s="377">
        <f>+[5]OTCHET!H502</f>
        <v>0</v>
      </c>
      <c r="I72" s="377">
        <f>+[5]OTCHET!I502</f>
        <v>0</v>
      </c>
      <c r="J72" s="378">
        <f>+[5]OTCHET!J502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+[5]OTCHET!E542</f>
        <v>0</v>
      </c>
      <c r="F73" s="375">
        <f t="shared" si="1"/>
        <v>0</v>
      </c>
      <c r="G73" s="376">
        <f>+[5]OTCHET!G542</f>
        <v>0</v>
      </c>
      <c r="H73" s="377">
        <f>+[5]OTCHET!H542</f>
        <v>0</v>
      </c>
      <c r="I73" s="377">
        <f>+[5]OTCHET!I542</f>
        <v>0</v>
      </c>
      <c r="J73" s="378">
        <f>+[5]OTCHET!J542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+[5]OTCHET!E581+[5]OTCHET!E582</f>
        <v>0</v>
      </c>
      <c r="F74" s="375">
        <f t="shared" si="1"/>
        <v>0</v>
      </c>
      <c r="G74" s="376">
        <f>+[5]OTCHET!G581+[5]OTCHET!G582</f>
        <v>0</v>
      </c>
      <c r="H74" s="377">
        <f>+[5]OTCHET!H581+[5]OTCHET!H582</f>
        <v>0</v>
      </c>
      <c r="I74" s="377">
        <f>+[5]OTCHET!I581+[5]OTCHET!I582</f>
        <v>0</v>
      </c>
      <c r="J74" s="378">
        <f>+[5]OTCHET!J581+[5]OTCHET!J582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+[5]OTCHET!E583+[5]OTCHET!E584+[5]OTCHET!E585</f>
        <v>0</v>
      </c>
      <c r="F75" s="382">
        <f t="shared" si="1"/>
        <v>0</v>
      </c>
      <c r="G75" s="383">
        <f>+[5]OTCHET!G583+[5]OTCHET!G584+[5]OTCHET!G585</f>
        <v>0</v>
      </c>
      <c r="H75" s="384">
        <f>+[5]OTCHET!H583+[5]OTCHET!H584+[5]OTCHET!H585</f>
        <v>0</v>
      </c>
      <c r="I75" s="384">
        <f>+[5]OTCHET!I583+[5]OTCHET!I584+[5]OTCHET!I585</f>
        <v>0</v>
      </c>
      <c r="J75" s="385">
        <f>+[5]OTCHET!J583+[5]OTCHET!J584+[5]OTCHET!J585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[5]OTCHET!E461</f>
        <v>0</v>
      </c>
      <c r="F76" s="299">
        <f t="shared" si="1"/>
        <v>0</v>
      </c>
      <c r="G76" s="300">
        <f>[5]OTCHET!G461</f>
        <v>0</v>
      </c>
      <c r="H76" s="301">
        <f>[5]OTCHET!H461</f>
        <v>0</v>
      </c>
      <c r="I76" s="301">
        <f>[5]OTCHET!I461</f>
        <v>0</v>
      </c>
      <c r="J76" s="302">
        <f>[5]OTCHET!J461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+[5]OTCHET!E466+[5]OTCHET!E469</f>
        <v>0</v>
      </c>
      <c r="F78" s="367">
        <f t="shared" si="1"/>
        <v>0</v>
      </c>
      <c r="G78" s="368">
        <f>+[5]OTCHET!G466+[5]OTCHET!G469</f>
        <v>0</v>
      </c>
      <c r="H78" s="369">
        <f>+[5]OTCHET!H466+[5]OTCHET!H469</f>
        <v>0</v>
      </c>
      <c r="I78" s="369">
        <f>+[5]OTCHET!I466+[5]OTCHET!I469</f>
        <v>0</v>
      </c>
      <c r="J78" s="370">
        <f>+[5]OTCHET!J466+[5]OTCHET!J469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+[5]OTCHET!E467+[5]OTCHET!E470</f>
        <v>0</v>
      </c>
      <c r="F79" s="375">
        <f t="shared" si="1"/>
        <v>0</v>
      </c>
      <c r="G79" s="376">
        <f>+[5]OTCHET!G467+[5]OTCHET!G470</f>
        <v>0</v>
      </c>
      <c r="H79" s="377">
        <f>+[5]OTCHET!H467+[5]OTCHET!H470</f>
        <v>0</v>
      </c>
      <c r="I79" s="377">
        <f>+[5]OTCHET!I467+[5]OTCHET!I470</f>
        <v>0</v>
      </c>
      <c r="J79" s="378">
        <f>+[5]OTCHET!J467+[5]OTCHET!J470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[5]OTCHET!E471</f>
        <v>0</v>
      </c>
      <c r="F80" s="375">
        <f t="shared" si="1"/>
        <v>0</v>
      </c>
      <c r="G80" s="376">
        <f>[5]OTCHET!G471</f>
        <v>0</v>
      </c>
      <c r="H80" s="377">
        <f>[5]OTCHET!H471</f>
        <v>0</v>
      </c>
      <c r="I80" s="377">
        <f>[5]OTCHET!I471</f>
        <v>0</v>
      </c>
      <c r="J80" s="378">
        <f>[5]OTCHET!J471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+[5]OTCHET!E479</f>
        <v>0</v>
      </c>
      <c r="F82" s="375">
        <f t="shared" si="1"/>
        <v>0</v>
      </c>
      <c r="G82" s="376">
        <f>+[5]OTCHET!G479</f>
        <v>0</v>
      </c>
      <c r="H82" s="377">
        <f>+[5]OTCHET!H479</f>
        <v>0</v>
      </c>
      <c r="I82" s="377">
        <f>+[5]OTCHET!I479</f>
        <v>0</v>
      </c>
      <c r="J82" s="378">
        <f>+[5]OTCHET!J479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+[5]OTCHET!E480</f>
        <v>0</v>
      </c>
      <c r="F83" s="382">
        <f t="shared" si="1"/>
        <v>0</v>
      </c>
      <c r="G83" s="383">
        <f>+[5]OTCHET!G480</f>
        <v>0</v>
      </c>
      <c r="H83" s="384">
        <f>+[5]OTCHET!H480</f>
        <v>0</v>
      </c>
      <c r="I83" s="384">
        <f>+[5]OTCHET!I480</f>
        <v>0</v>
      </c>
      <c r="J83" s="385">
        <f>+[5]OTCHET!J480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[5]OTCHET!E535</f>
        <v>0</v>
      </c>
      <c r="F84" s="299">
        <f t="shared" si="1"/>
        <v>0</v>
      </c>
      <c r="G84" s="300">
        <f>[5]OTCHET!G535</f>
        <v>0</v>
      </c>
      <c r="H84" s="301">
        <f>[5]OTCHET!H535</f>
        <v>0</v>
      </c>
      <c r="I84" s="301">
        <f>[5]OTCHET!I535</f>
        <v>0</v>
      </c>
      <c r="J84" s="302">
        <f>[5]OTCHET!J535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[5]OTCHET!E536</f>
        <v>0</v>
      </c>
      <c r="F85" s="304">
        <f t="shared" si="1"/>
        <v>0</v>
      </c>
      <c r="G85" s="305">
        <f>[5]OTCHET!G536</f>
        <v>0</v>
      </c>
      <c r="H85" s="306">
        <f>[5]OTCHET!H536</f>
        <v>0</v>
      </c>
      <c r="I85" s="306">
        <f>[5]OTCHET!I536</f>
        <v>0</v>
      </c>
      <c r="J85" s="307">
        <f>[5]OTCHET!J536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-16726</v>
      </c>
      <c r="G86" s="310">
        <f t="shared" ref="G86:M86" si="11">+G87+G88</f>
        <v>-17526</v>
      </c>
      <c r="H86" s="311">
        <f>+H87+H88</f>
        <v>0</v>
      </c>
      <c r="I86" s="311">
        <f>+I87+I88</f>
        <v>0</v>
      </c>
      <c r="J86" s="312">
        <f>+J87+J88</f>
        <v>800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+[5]OTCHET!E503+[5]OTCHET!E512+[5]OTCHET!E516+[5]OTCHET!E543</f>
        <v>0</v>
      </c>
      <c r="F87" s="367">
        <f t="shared" si="1"/>
        <v>0</v>
      </c>
      <c r="G87" s="368">
        <f>+[5]OTCHET!G503+[5]OTCHET!G512+[5]OTCHET!G516+[5]OTCHET!G543</f>
        <v>0</v>
      </c>
      <c r="H87" s="369">
        <f>+[5]OTCHET!H503+[5]OTCHET!H512+[5]OTCHET!H516+[5]OTCHET!H543</f>
        <v>0</v>
      </c>
      <c r="I87" s="369">
        <f>+[5]OTCHET!I503+[5]OTCHET!I512+[5]OTCHET!I516+[5]OTCHET!I543</f>
        <v>0</v>
      </c>
      <c r="J87" s="370">
        <f>+[5]OTCHET!J503+[5]OTCHET!J512+[5]OTCHET!J516+[5]OTCHET!J543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+[5]OTCHET!E521+[5]OTCHET!E524+[5]OTCHET!E544</f>
        <v>0</v>
      </c>
      <c r="F88" s="382">
        <f t="shared" si="1"/>
        <v>-16726</v>
      </c>
      <c r="G88" s="383">
        <f>+[5]OTCHET!G521+[5]OTCHET!G524+[5]OTCHET!G544</f>
        <v>-17526</v>
      </c>
      <c r="H88" s="384">
        <f>+[5]OTCHET!H521+[5]OTCHET!H524+[5]OTCHET!H544</f>
        <v>0</v>
      </c>
      <c r="I88" s="384">
        <f>+[5]OTCHET!I521+[5]OTCHET!I524+[5]OTCHET!I544</f>
        <v>0</v>
      </c>
      <c r="J88" s="385">
        <f>+[5]OTCHET!J521+[5]OTCHET!J524+[5]OTCHET!J544</f>
        <v>800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[5]OTCHET!E531</f>
        <v>0</v>
      </c>
      <c r="F89" s="299">
        <f t="shared" ref="F89:F96" si="12">+G89+H89+I89+J89</f>
        <v>0</v>
      </c>
      <c r="G89" s="300">
        <f>[5]OTCHET!G531</f>
        <v>0</v>
      </c>
      <c r="H89" s="301">
        <f>[5]OTCHET!H531</f>
        <v>0</v>
      </c>
      <c r="I89" s="301">
        <f>[5]OTCHET!I531</f>
        <v>0</v>
      </c>
      <c r="J89" s="302">
        <f>[5]OTCHET!J531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+[5]OTCHET!E567+[5]OTCHET!E568+[5]OTCHET!E569+[5]OTCHET!E570+[5]OTCHET!E571+[5]OTCHET!E572</f>
        <v>0</v>
      </c>
      <c r="F90" s="304">
        <f t="shared" si="12"/>
        <v>0</v>
      </c>
      <c r="G90" s="305">
        <f>+[5]OTCHET!G567+[5]OTCHET!G568+[5]OTCHET!G569+[5]OTCHET!G570+[5]OTCHET!G571+[5]OTCHET!G572</f>
        <v>0</v>
      </c>
      <c r="H90" s="306">
        <f>+[5]OTCHET!H567+[5]OTCHET!H568+[5]OTCHET!H569+[5]OTCHET!H570+[5]OTCHET!H571+[5]OTCHET!H572</f>
        <v>0</v>
      </c>
      <c r="I90" s="306">
        <f>+[5]OTCHET!I567+[5]OTCHET!I568+[5]OTCHET!I569+[5]OTCHET!I570+[5]OTCHET!I571+[5]OTCHET!I572</f>
        <v>0</v>
      </c>
      <c r="J90" s="307">
        <f>+[5]OTCHET!J567+[5]OTCHET!J568+[5]OTCHET!J569+[5]OTCHET!J570+[5]OTCHET!J571+[5]OTCHET!J572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+[5]OTCHET!E573+[5]OTCHET!E574+[5]OTCHET!E575+[5]OTCHET!E576+[5]OTCHET!E577+[5]OTCHET!E578+[5]OTCHET!E579</f>
        <v>0</v>
      </c>
      <c r="F91" s="168">
        <f t="shared" si="12"/>
        <v>-570</v>
      </c>
      <c r="G91" s="169">
        <f>+[5]OTCHET!G573+[5]OTCHET!G574+[5]OTCHET!G575+[5]OTCHET!G576+[5]OTCHET!G577+[5]OTCHET!G578+[5]OTCHET!G579</f>
        <v>0</v>
      </c>
      <c r="H91" s="170">
        <f>+[5]OTCHET!H573+[5]OTCHET!H574+[5]OTCHET!H575+[5]OTCHET!H576+[5]OTCHET!H577+[5]OTCHET!H578+[5]OTCHET!H579</f>
        <v>0</v>
      </c>
      <c r="I91" s="170">
        <f>+[5]OTCHET!I573+[5]OTCHET!I574+[5]OTCHET!I575+[5]OTCHET!I576+[5]OTCHET!I577+[5]OTCHET!I578+[5]OTCHET!I579</f>
        <v>-570</v>
      </c>
      <c r="J91" s="171">
        <f>+[5]OTCHET!J573+[5]OTCHET!J574+[5]OTCHET!J575+[5]OTCHET!J576+[5]OTCHET!J577+[5]OTCHET!J578+[5]OTCHET!J579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+[5]OTCHET!E580</f>
        <v>0</v>
      </c>
      <c r="F92" s="168">
        <f t="shared" si="12"/>
        <v>0</v>
      </c>
      <c r="G92" s="169">
        <f>+[5]OTCHET!G580</f>
        <v>0</v>
      </c>
      <c r="H92" s="170">
        <f>+[5]OTCHET!H580</f>
        <v>0</v>
      </c>
      <c r="I92" s="170">
        <f>+[5]OTCHET!I580</f>
        <v>0</v>
      </c>
      <c r="J92" s="171">
        <f>+[5]OTCHET!J580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+[5]OTCHET!E587+[5]OTCHET!E588</f>
        <v>0</v>
      </c>
      <c r="F93" s="168">
        <f t="shared" si="12"/>
        <v>0</v>
      </c>
      <c r="G93" s="169">
        <f>+[5]OTCHET!G587+[5]OTCHET!G588</f>
        <v>0</v>
      </c>
      <c r="H93" s="170">
        <f>+[5]OTCHET!H587+[5]OTCHET!H588</f>
        <v>0</v>
      </c>
      <c r="I93" s="170">
        <f>+[5]OTCHET!I587+[5]OTCHET!I588</f>
        <v>0</v>
      </c>
      <c r="J93" s="171">
        <f>+[5]OTCHET!J587+[5]OTCHET!J588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+[5]OTCHET!E589+[5]OTCHET!E590</f>
        <v>0</v>
      </c>
      <c r="F94" s="168">
        <f t="shared" si="12"/>
        <v>0</v>
      </c>
      <c r="G94" s="169">
        <f>+[5]OTCHET!G589+[5]OTCHET!G590</f>
        <v>0</v>
      </c>
      <c r="H94" s="170">
        <f>+[5]OTCHET!H589+[5]OTCHET!H590</f>
        <v>0</v>
      </c>
      <c r="I94" s="170">
        <f>+[5]OTCHET!I589+[5]OTCHET!I590</f>
        <v>0</v>
      </c>
      <c r="J94" s="171">
        <f>+[5]OTCHET!J589+[5]OTCHET!J590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[5]OTCHET!E591</f>
        <v>0</v>
      </c>
      <c r="F95" s="120">
        <f t="shared" si="12"/>
        <v>0</v>
      </c>
      <c r="G95" s="121">
        <f>[5]OTCHET!G591</f>
        <v>-2300</v>
      </c>
      <c r="H95" s="122">
        <f>[5]OTCHET!H591</f>
        <v>0</v>
      </c>
      <c r="I95" s="122">
        <f>[5]OTCHET!I591</f>
        <v>2300</v>
      </c>
      <c r="J95" s="123">
        <f>[5]OTCHET!J591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+[5]OTCHET!E594</f>
        <v>0</v>
      </c>
      <c r="F96" s="396">
        <f t="shared" si="12"/>
        <v>0</v>
      </c>
      <c r="G96" s="397">
        <f>+[5]OTCHET!G594</f>
        <v>0</v>
      </c>
      <c r="H96" s="398">
        <f>+[5]OTCHET!H594</f>
        <v>0</v>
      </c>
      <c r="I96" s="398">
        <f>+[5]OTCHET!I594</f>
        <v>0</v>
      </c>
      <c r="J96" s="399">
        <f>+[5]OTCHET!J594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+[5]OTCHET!H605</f>
        <v>0</v>
      </c>
      <c r="C107" s="421"/>
      <c r="D107" s="421"/>
      <c r="E107" s="426"/>
      <c r="F107" s="19"/>
      <c r="G107" s="427">
        <f>+[5]OTCHET!E605</f>
        <v>0</v>
      </c>
      <c r="H107" s="427">
        <f>+[5]OTCHET!F605</f>
        <v>0</v>
      </c>
      <c r="I107" s="428"/>
      <c r="J107" s="429" t="str">
        <f>+[5]OTCHET!B605</f>
        <v>31.05.2023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67" priority="21" stopIfTrue="1" operator="notEqual">
      <formula>0</formula>
    </cfRule>
  </conditionalFormatting>
  <conditionalFormatting sqref="E105:J105">
    <cfRule type="cellIs" dxfId="166" priority="20" stopIfTrue="1" operator="notEqual">
      <formula>0</formula>
    </cfRule>
  </conditionalFormatting>
  <conditionalFormatting sqref="G107:H107 B107">
    <cfRule type="cellIs" dxfId="165" priority="19" stopIfTrue="1" operator="equal">
      <formula>0</formula>
    </cfRule>
  </conditionalFormatting>
  <conditionalFormatting sqref="I114 E110">
    <cfRule type="cellIs" dxfId="164" priority="18" stopIfTrue="1" operator="equal">
      <formula>0</formula>
    </cfRule>
  </conditionalFormatting>
  <conditionalFormatting sqref="J107">
    <cfRule type="cellIs" dxfId="163" priority="17" stopIfTrue="1" operator="equal">
      <formula>0</formula>
    </cfRule>
  </conditionalFormatting>
  <conditionalFormatting sqref="E114:F114">
    <cfRule type="cellIs" dxfId="162" priority="16" stopIfTrue="1" operator="equal">
      <formula>0</formula>
    </cfRule>
  </conditionalFormatting>
  <conditionalFormatting sqref="F15">
    <cfRule type="cellIs" dxfId="161" priority="11" stopIfTrue="1" operator="equal">
      <formula>"Чужди средства"</formula>
    </cfRule>
    <cfRule type="cellIs" dxfId="160" priority="12" stopIfTrue="1" operator="equal">
      <formula>"СЕС - ДМП"</formula>
    </cfRule>
    <cfRule type="cellIs" dxfId="159" priority="13" stopIfTrue="1" operator="equal">
      <formula>"СЕС - РА"</formula>
    </cfRule>
    <cfRule type="cellIs" dxfId="158" priority="14" stopIfTrue="1" operator="equal">
      <formula>"СЕС - ДЕС"</formula>
    </cfRule>
    <cfRule type="cellIs" dxfId="157" priority="15" stopIfTrue="1" operator="equal">
      <formula>"СЕС - КСФ"</formula>
    </cfRule>
  </conditionalFormatting>
  <conditionalFormatting sqref="B105">
    <cfRule type="cellIs" dxfId="156" priority="10" stopIfTrue="1" operator="notEqual">
      <formula>0</formula>
    </cfRule>
  </conditionalFormatting>
  <conditionalFormatting sqref="I11:J11">
    <cfRule type="cellIs" dxfId="155" priority="6" stopIfTrue="1" operator="between">
      <formula>1000000000000</formula>
      <formula>9999999999999990</formula>
    </cfRule>
    <cfRule type="cellIs" dxfId="154" priority="7" stopIfTrue="1" operator="between">
      <formula>10000000000</formula>
      <formula>999999999999</formula>
    </cfRule>
    <cfRule type="cellIs" dxfId="153" priority="8" stopIfTrue="1" operator="between">
      <formula>1000000</formula>
      <formula>99999999</formula>
    </cfRule>
    <cfRule type="cellIs" dxfId="152" priority="9" stopIfTrue="1" operator="between">
      <formula>100</formula>
      <formula>9999</formula>
    </cfRule>
  </conditionalFormatting>
  <conditionalFormatting sqref="E15">
    <cfRule type="cellIs" dxfId="151" priority="1" stopIfTrue="1" operator="equal">
      <formula>"Чужди средства"</formula>
    </cfRule>
    <cfRule type="cellIs" dxfId="150" priority="2" stopIfTrue="1" operator="equal">
      <formula>"СЕС - ДМП"</formula>
    </cfRule>
    <cfRule type="cellIs" dxfId="149" priority="3" stopIfTrue="1" operator="equal">
      <formula>"СЕС - РА"</formula>
    </cfRule>
    <cfRule type="cellIs" dxfId="148" priority="4" stopIfTrue="1" operator="equal">
      <formula>"СЕС - ДЕС"</formula>
    </cfRule>
    <cfRule type="cellIs" dxfId="147"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+[6]OTCHET!B9</f>
        <v>РИОСВ - ПЛОВДИВ</v>
      </c>
      <c r="C11" s="22"/>
      <c r="D11" s="22"/>
      <c r="E11" s="23" t="s">
        <v>0</v>
      </c>
      <c r="F11" s="24">
        <f>[6]OTCHET!F9</f>
        <v>45107</v>
      </c>
      <c r="G11" s="25" t="s">
        <v>1</v>
      </c>
      <c r="H11" s="26">
        <f>+[6]OTCHET!H9</f>
        <v>471013</v>
      </c>
      <c r="I11" s="448">
        <f>+[6]OTCHET!I9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+[6]OTCHET!B12</f>
        <v>Министерство на околната среда и водите</v>
      </c>
      <c r="C13" s="31"/>
      <c r="D13" s="31"/>
      <c r="E13" s="35" t="str">
        <f>+[6]OTCHET!E12</f>
        <v>код по ЕБК:</v>
      </c>
      <c r="F13" s="36" t="str">
        <f>+[6]OTCHET!F12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+[6]OTCHET!E15</f>
        <v>0</v>
      </c>
      <c r="F15" s="41" t="str">
        <f>[6]OTCHET!F15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77536</v>
      </c>
      <c r="G22" s="103">
        <f t="shared" si="0"/>
        <v>80036</v>
      </c>
      <c r="H22" s="104">
        <f t="shared" si="0"/>
        <v>0</v>
      </c>
      <c r="I22" s="104">
        <f t="shared" si="0"/>
        <v>0</v>
      </c>
      <c r="J22" s="105">
        <f t="shared" si="0"/>
        <v>-2500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[6]OTCHET!E22+[6]OTCHET!E28+[6]OTCHET!E33+[6]OTCHET!E39+[6]OTCHET!E47+[6]OTCHET!E52+[6]OTCHET!E58+[6]OTCHET!E61+[6]OTCHET!E64+[6]OTCHET!E65+[6]OTCHET!E72+[6]OTCHET!E73</f>
        <v>0</v>
      </c>
      <c r="F23" s="111">
        <f t="shared" ref="F23:F88" si="1">+G23+H23+I23+J23</f>
        <v>0</v>
      </c>
      <c r="G23" s="112">
        <f>[6]OTCHET!G22+[6]OTCHET!G28+[6]OTCHET!G33+[6]OTCHET!G39+[6]OTCHET!G47+[6]OTCHET!G52+[6]OTCHET!G58+[6]OTCHET!G61+[6]OTCHET!G64+[6]OTCHET!G65+[6]OTCHET!G72+[6]OTCHET!G73</f>
        <v>0</v>
      </c>
      <c r="H23" s="113">
        <f>[6]OTCHET!H22+[6]OTCHET!H28+[6]OTCHET!H33+[6]OTCHET!H39+[6]OTCHET!H47+[6]OTCHET!H52+[6]OTCHET!H58+[6]OTCHET!H61+[6]OTCHET!H64+[6]OTCHET!H65+[6]OTCHET!H72+[6]OTCHET!H73</f>
        <v>0</v>
      </c>
      <c r="I23" s="113">
        <f>[6]OTCHET!I22+[6]OTCHET!I28+[6]OTCHET!I33+[6]OTCHET!I39+[6]OTCHET!I47+[6]OTCHET!I52+[6]OTCHET!I58+[6]OTCHET!I61+[6]OTCHET!I64+[6]OTCHET!I65+[6]OTCHET!I72+[6]OTCHET!I73</f>
        <v>0</v>
      </c>
      <c r="J23" s="114">
        <f>[6]OTCHET!J22+[6]OTCHET!J28+[6]OTCHET!J33+[6]OTCHET!J39+[6]OTCHET!J47+[6]OTCHET!J52+[6]OTCHET!J58+[6]OTCHET!J61+[6]OTCHET!J64+[6]OTCHET!J65+[6]OTCHET!J72+[6]OTCHET!J73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77536</v>
      </c>
      <c r="G25" s="128">
        <f t="shared" ref="G25:M25" si="2">+G26+G30+G31+G32+G33</f>
        <v>80036</v>
      </c>
      <c r="H25" s="129">
        <f>+H26+H30+H31+H32+H33</f>
        <v>0</v>
      </c>
      <c r="I25" s="129">
        <f>+I26+I30+I31+I32+I33</f>
        <v>0</v>
      </c>
      <c r="J25" s="130">
        <f>+J26+J30+J31+J32+J33</f>
        <v>-2500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[6]OTCHET!E74</f>
        <v>0</v>
      </c>
      <c r="F26" s="133">
        <f t="shared" si="1"/>
        <v>0</v>
      </c>
      <c r="G26" s="134">
        <f>[6]OTCHET!G74</f>
        <v>0</v>
      </c>
      <c r="H26" s="135">
        <f>[6]OTCHET!H74</f>
        <v>0</v>
      </c>
      <c r="I26" s="135">
        <f>[6]OTCHET!I74</f>
        <v>0</v>
      </c>
      <c r="J26" s="136">
        <f>[6]OTCHET!J74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[6]OTCHET!E75</f>
        <v>0</v>
      </c>
      <c r="F27" s="140">
        <f t="shared" si="1"/>
        <v>0</v>
      </c>
      <c r="G27" s="141">
        <f>[6]OTCHET!G75</f>
        <v>0</v>
      </c>
      <c r="H27" s="142">
        <f>[6]OTCHET!H75</f>
        <v>0</v>
      </c>
      <c r="I27" s="142">
        <f>[6]OTCHET!I75</f>
        <v>0</v>
      </c>
      <c r="J27" s="143">
        <f>[6]OTCHET!J75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[6]OTCHET!E77</f>
        <v>0</v>
      </c>
      <c r="F28" s="148">
        <f t="shared" si="1"/>
        <v>0</v>
      </c>
      <c r="G28" s="149">
        <f>[6]OTCHET!G77</f>
        <v>0</v>
      </c>
      <c r="H28" s="150">
        <f>[6]OTCHET!H77</f>
        <v>0</v>
      </c>
      <c r="I28" s="150">
        <f>[6]OTCHET!I77</f>
        <v>0</v>
      </c>
      <c r="J28" s="151">
        <f>[6]OTCHET!J77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+[6]OTCHET!E78+[6]OTCHET!E79</f>
        <v>0</v>
      </c>
      <c r="F29" s="156">
        <f t="shared" si="1"/>
        <v>0</v>
      </c>
      <c r="G29" s="157">
        <f>+[6]OTCHET!G78+[6]OTCHET!G79</f>
        <v>0</v>
      </c>
      <c r="H29" s="158">
        <f>+[6]OTCHET!H78+[6]OTCHET!H79</f>
        <v>0</v>
      </c>
      <c r="I29" s="158">
        <f>+[6]OTCHET!I78+[6]OTCHET!I79</f>
        <v>0</v>
      </c>
      <c r="J29" s="159">
        <f>+[6]OTCHET!J78+[6]OTCHET!J79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[6]OTCHET!E90+[6]OTCHET!E93+[6]OTCHET!E94</f>
        <v>0</v>
      </c>
      <c r="F30" s="162">
        <f t="shared" si="1"/>
        <v>72018</v>
      </c>
      <c r="G30" s="163">
        <f>[6]OTCHET!G90+[6]OTCHET!G93+[6]OTCHET!G94</f>
        <v>72018</v>
      </c>
      <c r="H30" s="164">
        <f>[6]OTCHET!H90+[6]OTCHET!H93+[6]OTCHET!H94</f>
        <v>0</v>
      </c>
      <c r="I30" s="164">
        <f>[6]OTCHET!I90+[6]OTCHET!I93+[6]OTCHET!I94</f>
        <v>0</v>
      </c>
      <c r="J30" s="165">
        <f>[6]OTCHET!J90+[6]OTCHET!J93+[6]OTCHET!J94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[6]OTCHET!E106</f>
        <v>0</v>
      </c>
      <c r="F31" s="168">
        <f t="shared" si="1"/>
        <v>7277</v>
      </c>
      <c r="G31" s="169">
        <f>[6]OTCHET!G106</f>
        <v>6718</v>
      </c>
      <c r="H31" s="170">
        <f>[6]OTCHET!H106</f>
        <v>0</v>
      </c>
      <c r="I31" s="170">
        <f>[6]OTCHET!I106</f>
        <v>0</v>
      </c>
      <c r="J31" s="171">
        <f>[6]OTCHET!J106</f>
        <v>559</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[6]OTCHET!E110+[6]OTCHET!E119+[6]OTCHET!E135+[6]OTCHET!E136</f>
        <v>0</v>
      </c>
      <c r="F32" s="168">
        <f t="shared" si="1"/>
        <v>-1759</v>
      </c>
      <c r="G32" s="169">
        <f>[6]OTCHET!G110+[6]OTCHET!G119+[6]OTCHET!G135+[6]OTCHET!G136</f>
        <v>1300</v>
      </c>
      <c r="H32" s="170">
        <f>[6]OTCHET!H110+[6]OTCHET!H119+[6]OTCHET!H135+[6]OTCHET!H136</f>
        <v>0</v>
      </c>
      <c r="I32" s="170">
        <f>[6]OTCHET!I110+[6]OTCHET!I119+[6]OTCHET!I135+[6]OTCHET!I136</f>
        <v>0</v>
      </c>
      <c r="J32" s="171">
        <f>[6]OTCHET!J110+[6]OTCHET!J119+[6]OTCHET!J135+[6]OTCHET!J136</f>
        <v>-3059</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[6]OTCHET!E123</f>
        <v>0</v>
      </c>
      <c r="F33" s="120">
        <f t="shared" si="1"/>
        <v>0</v>
      </c>
      <c r="G33" s="121">
        <f>[6]OTCHET!G123</f>
        <v>0</v>
      </c>
      <c r="H33" s="122">
        <f>[6]OTCHET!H123</f>
        <v>0</v>
      </c>
      <c r="I33" s="122">
        <f>[6]OTCHET!I123</f>
        <v>0</v>
      </c>
      <c r="J33" s="123">
        <f>[6]OTCHET!J123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+[6]OTCHET!E137</f>
        <v>0</v>
      </c>
      <c r="F36" s="191">
        <f t="shared" si="1"/>
        <v>0</v>
      </c>
      <c r="G36" s="192">
        <f>+[6]OTCHET!G137</f>
        <v>0</v>
      </c>
      <c r="H36" s="193">
        <f>+[6]OTCHET!H137</f>
        <v>0</v>
      </c>
      <c r="I36" s="193">
        <f>+[6]OTCHET!I137</f>
        <v>0</v>
      </c>
      <c r="J36" s="194">
        <f>+[6]OTCHET!J137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[6]OTCHET!E140+[6]OTCHET!E149+[6]OTCHET!E158</f>
        <v>0</v>
      </c>
      <c r="F37" s="199">
        <f t="shared" si="1"/>
        <v>0</v>
      </c>
      <c r="G37" s="200">
        <f>[6]OTCHET!G140+[6]OTCHET!G149+[6]OTCHET!G158</f>
        <v>0</v>
      </c>
      <c r="H37" s="201">
        <f>[6]OTCHET!H140+[6]OTCHET!H149+[6]OTCHET!H158</f>
        <v>0</v>
      </c>
      <c r="I37" s="201">
        <f>[6]OTCHET!I140+[6]OTCHET!I149+[6]OTCHET!I158</f>
        <v>0</v>
      </c>
      <c r="J37" s="202">
        <f>[6]OTCHET!J140+[6]OTCHET!J149+[6]OTCHET!J158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610655</v>
      </c>
      <c r="G38" s="210">
        <f t="shared" si="3"/>
        <v>444256</v>
      </c>
      <c r="H38" s="211">
        <f t="shared" si="3"/>
        <v>0</v>
      </c>
      <c r="I38" s="211">
        <f t="shared" si="3"/>
        <v>1971</v>
      </c>
      <c r="J38" s="212">
        <f t="shared" si="3"/>
        <v>164428</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546156</v>
      </c>
      <c r="G39" s="222">
        <f t="shared" si="4"/>
        <v>381728</v>
      </c>
      <c r="H39" s="223">
        <f t="shared" si="4"/>
        <v>0</v>
      </c>
      <c r="I39" s="223">
        <f t="shared" si="4"/>
        <v>0</v>
      </c>
      <c r="J39" s="224">
        <f t="shared" si="4"/>
        <v>164428</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[6]OTCHET!E187</f>
        <v>0</v>
      </c>
      <c r="F40" s="229">
        <f t="shared" si="1"/>
        <v>370733</v>
      </c>
      <c r="G40" s="230">
        <f>[6]OTCHET!G187</f>
        <v>328139</v>
      </c>
      <c r="H40" s="231">
        <f>[6]OTCHET!H187</f>
        <v>0</v>
      </c>
      <c r="I40" s="231">
        <f>[6]OTCHET!I187</f>
        <v>0</v>
      </c>
      <c r="J40" s="232">
        <f>[6]OTCHET!J187</f>
        <v>42594</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[6]OTCHET!E190</f>
        <v>0</v>
      </c>
      <c r="F41" s="237">
        <f t="shared" si="1"/>
        <v>57105</v>
      </c>
      <c r="G41" s="238">
        <f>[6]OTCHET!G190</f>
        <v>53589</v>
      </c>
      <c r="H41" s="239">
        <f>[6]OTCHET!H190</f>
        <v>0</v>
      </c>
      <c r="I41" s="239">
        <f>[6]OTCHET!I190</f>
        <v>0</v>
      </c>
      <c r="J41" s="240">
        <f>[6]OTCHET!J190</f>
        <v>3516</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+[6]OTCHET!E196+[6]OTCHET!E204</f>
        <v>0</v>
      </c>
      <c r="F42" s="244">
        <f t="shared" si="1"/>
        <v>118318</v>
      </c>
      <c r="G42" s="245">
        <f>+[6]OTCHET!G196+[6]OTCHET!G204</f>
        <v>0</v>
      </c>
      <c r="H42" s="246">
        <f>+[6]OTCHET!H196+[6]OTCHET!H204</f>
        <v>0</v>
      </c>
      <c r="I42" s="246">
        <f>+[6]OTCHET!I196+[6]OTCHET!I204</f>
        <v>0</v>
      </c>
      <c r="J42" s="247">
        <f>+[6]OTCHET!J196+[6]OTCHET!J204</f>
        <v>118318</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+[6]OTCHET!E205+[6]OTCHET!E223+[6]OTCHET!E271</f>
        <v>0</v>
      </c>
      <c r="F43" s="250">
        <f t="shared" si="1"/>
        <v>60231</v>
      </c>
      <c r="G43" s="251">
        <f>+[6]OTCHET!G205+[6]OTCHET!G223+[6]OTCHET!G271</f>
        <v>58260</v>
      </c>
      <c r="H43" s="252">
        <f>+[6]OTCHET!H205+[6]OTCHET!H223+[6]OTCHET!H271</f>
        <v>0</v>
      </c>
      <c r="I43" s="252">
        <f>+[6]OTCHET!I205+[6]OTCHET!I223+[6]OTCHET!I271</f>
        <v>1971</v>
      </c>
      <c r="J43" s="253">
        <f>+[6]OTCHET!J205+[6]OTCHET!J223+[6]OTCHET!J271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+[6]OTCHET!E227+[6]OTCHET!E233+[6]OTCHET!E236+[6]OTCHET!E237+[6]OTCHET!E238+[6]OTCHET!E239+[6]OTCHET!E240</f>
        <v>0</v>
      </c>
      <c r="F44" s="120">
        <f t="shared" si="1"/>
        <v>0</v>
      </c>
      <c r="G44" s="121">
        <f>+[6]OTCHET!G227+[6]OTCHET!G233+[6]OTCHET!G236+[6]OTCHET!G237+[6]OTCHET!G238+[6]OTCHET!G239+[6]OTCHET!G240</f>
        <v>0</v>
      </c>
      <c r="H44" s="122">
        <f>+[6]OTCHET!H227+[6]OTCHET!H233+[6]OTCHET!H236+[6]OTCHET!H237+[6]OTCHET!H238+[6]OTCHET!H239+[6]OTCHET!H240</f>
        <v>0</v>
      </c>
      <c r="I44" s="122">
        <f>+[6]OTCHET!I227+[6]OTCHET!I233+[6]OTCHET!I236+[6]OTCHET!I237+[6]OTCHET!I238+[6]OTCHET!I239+[6]OTCHET!I240</f>
        <v>0</v>
      </c>
      <c r="J44" s="123">
        <f>+[6]OTCHET!J227+[6]OTCHET!J233+[6]OTCHET!J236+[6]OTCHET!J237+[6]OTCHET!J238+[6]OTCHET!J239+[6]OTCHET!J240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+[6]OTCHET!E236+[6]OTCHET!E237+[6]OTCHET!E238+[6]OTCHET!E239+[6]OTCHET!E243+[6]OTCHET!E244+[6]OTCHET!E248</f>
        <v>0</v>
      </c>
      <c r="F45" s="256">
        <f t="shared" si="1"/>
        <v>0</v>
      </c>
      <c r="G45" s="257">
        <f>+[6]OTCHET!G236+[6]OTCHET!G237+[6]OTCHET!G238+[6]OTCHET!G239+[6]OTCHET!G243+[6]OTCHET!G244+[6]OTCHET!G248</f>
        <v>0</v>
      </c>
      <c r="H45" s="258">
        <f>+[6]OTCHET!H236+[6]OTCHET!H237+[6]OTCHET!H238+[6]OTCHET!H239+[6]OTCHET!H243+[6]OTCHET!H244+[6]OTCHET!H248</f>
        <v>0</v>
      </c>
      <c r="I45" s="259">
        <f>+[6]OTCHET!I236+[6]OTCHET!I237+[6]OTCHET!I238+[6]OTCHET!I239+[6]OTCHET!I243+[6]OTCHET!I244+[6]OTCHET!I248</f>
        <v>0</v>
      </c>
      <c r="J45" s="260">
        <f>+[6]OTCHET!J236+[6]OTCHET!J237+[6]OTCHET!J238+[6]OTCHET!J239+[6]OTCHET!J243+[6]OTCHET!J244+[6]OTCHET!J248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+[6]OTCHET!E255+[6]OTCHET!E256+[6]OTCHET!E257+[6]OTCHET!E258</f>
        <v>0</v>
      </c>
      <c r="F46" s="250">
        <f t="shared" si="1"/>
        <v>0</v>
      </c>
      <c r="G46" s="251">
        <f>+[6]OTCHET!G255+[6]OTCHET!G256+[6]OTCHET!G257+[6]OTCHET!G258</f>
        <v>0</v>
      </c>
      <c r="H46" s="252">
        <f>+[6]OTCHET!H255+[6]OTCHET!H256+[6]OTCHET!H257+[6]OTCHET!H258</f>
        <v>0</v>
      </c>
      <c r="I46" s="252">
        <f>+[6]OTCHET!I255+[6]OTCHET!I256+[6]OTCHET!I257+[6]OTCHET!I258</f>
        <v>0</v>
      </c>
      <c r="J46" s="253">
        <f>+[6]OTCHET!J255+[6]OTCHET!J256+[6]OTCHET!J257+[6]OTCHET!J258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+[6]OTCHET!E256</f>
        <v>0</v>
      </c>
      <c r="F47" s="256">
        <f t="shared" si="1"/>
        <v>0</v>
      </c>
      <c r="G47" s="257">
        <f>+[6]OTCHET!G256</f>
        <v>0</v>
      </c>
      <c r="H47" s="258">
        <f>+[6]OTCHET!H256</f>
        <v>0</v>
      </c>
      <c r="I47" s="259">
        <f>+[6]OTCHET!I256</f>
        <v>0</v>
      </c>
      <c r="J47" s="260">
        <f>+[6]OTCHET!J256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+[6]OTCHET!E265+[6]OTCHET!E269+[6]OTCHET!E270</f>
        <v>0</v>
      </c>
      <c r="F48" s="168">
        <f t="shared" si="1"/>
        <v>0</v>
      </c>
      <c r="G48" s="163">
        <f>+[6]OTCHET!G265+[6]OTCHET!G269+[6]OTCHET!G270</f>
        <v>0</v>
      </c>
      <c r="H48" s="164">
        <f>+[6]OTCHET!H265+[6]OTCHET!H269+[6]OTCHET!H270</f>
        <v>0</v>
      </c>
      <c r="I48" s="164">
        <f>+[6]OTCHET!I265+[6]OTCHET!I269+[6]OTCHET!I270</f>
        <v>0</v>
      </c>
      <c r="J48" s="165">
        <f>+[6]OTCHET!J265+[6]OTCHET!J269+[6]OTCHET!J270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[6]OTCHET!E275+[6]OTCHET!E276+[6]OTCHET!E284+[6]OTCHET!E287</f>
        <v>0</v>
      </c>
      <c r="F49" s="168">
        <f t="shared" si="1"/>
        <v>4268</v>
      </c>
      <c r="G49" s="169">
        <f>[6]OTCHET!G275+[6]OTCHET!G276+[6]OTCHET!G284+[6]OTCHET!G287</f>
        <v>4268</v>
      </c>
      <c r="H49" s="170">
        <f>[6]OTCHET!H275+[6]OTCHET!H276+[6]OTCHET!H284+[6]OTCHET!H287</f>
        <v>0</v>
      </c>
      <c r="I49" s="170">
        <f>[6]OTCHET!I275+[6]OTCHET!I276+[6]OTCHET!I284+[6]OTCHET!I287</f>
        <v>0</v>
      </c>
      <c r="J49" s="171">
        <f>[6]OTCHET!J275+[6]OTCHET!J276+[6]OTCHET!J284+[6]OTCHET!J287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+[6]OTCHET!E288</f>
        <v>0</v>
      </c>
      <c r="F50" s="168">
        <f t="shared" si="1"/>
        <v>0</v>
      </c>
      <c r="G50" s="169">
        <f>+[6]OTCHET!G288</f>
        <v>0</v>
      </c>
      <c r="H50" s="170">
        <f>+[6]OTCHET!H288</f>
        <v>0</v>
      </c>
      <c r="I50" s="170">
        <f>+[6]OTCHET!I288</f>
        <v>0</v>
      </c>
      <c r="J50" s="171">
        <f>+[6]OTCHET!J288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+[6]OTCHET!E272</f>
        <v>0</v>
      </c>
      <c r="F51" s="120">
        <f>+G51+H51+I51+J51</f>
        <v>0</v>
      </c>
      <c r="G51" s="121">
        <f>+[6]OTCHET!G272</f>
        <v>0</v>
      </c>
      <c r="H51" s="122">
        <f>+[6]OTCHET!H272</f>
        <v>0</v>
      </c>
      <c r="I51" s="122">
        <f>+[6]OTCHET!I272</f>
        <v>0</v>
      </c>
      <c r="J51" s="123">
        <f>+[6]OTCHET!J272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+[6]OTCHET!E293</f>
        <v>0</v>
      </c>
      <c r="F52" s="120">
        <f t="shared" si="1"/>
        <v>0</v>
      </c>
      <c r="G52" s="121">
        <f>+[6]OTCHET!G293</f>
        <v>0</v>
      </c>
      <c r="H52" s="122">
        <f>+[6]OTCHET!H293</f>
        <v>0</v>
      </c>
      <c r="I52" s="122">
        <f>+[6]OTCHET!I293</f>
        <v>0</v>
      </c>
      <c r="J52" s="123">
        <f>+[6]OTCHET!J293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[6]OTCHET!E294</f>
        <v>0</v>
      </c>
      <c r="F53" s="267">
        <f t="shared" si="1"/>
        <v>0</v>
      </c>
      <c r="G53" s="268">
        <f>[6]OTCHET!G294</f>
        <v>0</v>
      </c>
      <c r="H53" s="269">
        <f>[6]OTCHET!H294</f>
        <v>0</v>
      </c>
      <c r="I53" s="269">
        <f>[6]OTCHET!I294</f>
        <v>0</v>
      </c>
      <c r="J53" s="270">
        <f>[6]OTCHET!J294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[6]OTCHET!E296</f>
        <v>0</v>
      </c>
      <c r="F54" s="275">
        <f t="shared" si="1"/>
        <v>0</v>
      </c>
      <c r="G54" s="276">
        <f>[6]OTCHET!G296</f>
        <v>0</v>
      </c>
      <c r="H54" s="277">
        <f>[6]OTCHET!H296</f>
        <v>0</v>
      </c>
      <c r="I54" s="277">
        <f>[6]OTCHET!I296</f>
        <v>0</v>
      </c>
      <c r="J54" s="278">
        <f>[6]OTCHET!J296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+[6]OTCHET!E297</f>
        <v>0</v>
      </c>
      <c r="F55" s="284">
        <f t="shared" si="1"/>
        <v>0</v>
      </c>
      <c r="G55" s="285">
        <f>+[6]OTCHET!G297</f>
        <v>0</v>
      </c>
      <c r="H55" s="286">
        <f>+[6]OTCHET!H297</f>
        <v>0</v>
      </c>
      <c r="I55" s="286">
        <f>+[6]OTCHET!I297</f>
        <v>0</v>
      </c>
      <c r="J55" s="287">
        <f>+[6]OTCHET!J297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521872</v>
      </c>
      <c r="G56" s="294">
        <f t="shared" si="5"/>
        <v>357444</v>
      </c>
      <c r="H56" s="295">
        <f t="shared" si="5"/>
        <v>0</v>
      </c>
      <c r="I56" s="296">
        <f t="shared" si="5"/>
        <v>0</v>
      </c>
      <c r="J56" s="297">
        <f t="shared" si="5"/>
        <v>164428</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+[6]OTCHET!E361+[6]OTCHET!E375+[6]OTCHET!E388</f>
        <v>0</v>
      </c>
      <c r="F57" s="299">
        <f t="shared" si="1"/>
        <v>0</v>
      </c>
      <c r="G57" s="300">
        <f>+[6]OTCHET!G361+[6]OTCHET!G375+[6]OTCHET!G388</f>
        <v>0</v>
      </c>
      <c r="H57" s="301">
        <f>+[6]OTCHET!H361+[6]OTCHET!H375+[6]OTCHET!H388</f>
        <v>0</v>
      </c>
      <c r="I57" s="301">
        <f>+[6]OTCHET!I361+[6]OTCHET!I375+[6]OTCHET!I388</f>
        <v>0</v>
      </c>
      <c r="J57" s="302">
        <f>+[6]OTCHET!J361+[6]OTCHET!J375+[6]OTCHET!J388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+[6]OTCHET!E383+[6]OTCHET!E391+[6]OTCHET!E396+[6]OTCHET!E399+[6]OTCHET!E402+[6]OTCHET!E405+[6]OTCHET!E406+[6]OTCHET!E409+[6]OTCHET!E422+[6]OTCHET!E423+[6]OTCHET!E424+[6]OTCHET!E425+[6]OTCHET!E426</f>
        <v>0</v>
      </c>
      <c r="F58" s="304">
        <f t="shared" si="1"/>
        <v>357444</v>
      </c>
      <c r="G58" s="305">
        <f>+[6]OTCHET!G383+[6]OTCHET!G391+[6]OTCHET!G396+[6]OTCHET!G399+[6]OTCHET!G402+[6]OTCHET!G405+[6]OTCHET!G406+[6]OTCHET!G409+[6]OTCHET!G422+[6]OTCHET!G423+[6]OTCHET!G424+[6]OTCHET!G425+[6]OTCHET!G426</f>
        <v>357444</v>
      </c>
      <c r="H58" s="306">
        <f>+[6]OTCHET!H383+[6]OTCHET!H391+[6]OTCHET!H396+[6]OTCHET!H399+[6]OTCHET!H402+[6]OTCHET!H405+[6]OTCHET!H406+[6]OTCHET!H409+[6]OTCHET!H422+[6]OTCHET!H423+[6]OTCHET!H424+[6]OTCHET!H425+[6]OTCHET!H426</f>
        <v>0</v>
      </c>
      <c r="I58" s="306">
        <f>+[6]OTCHET!I383+[6]OTCHET!I391+[6]OTCHET!I396+[6]OTCHET!I399+[6]OTCHET!I402+[6]OTCHET!I405+[6]OTCHET!I406+[6]OTCHET!I409+[6]OTCHET!I422+[6]OTCHET!I423+[6]OTCHET!I424+[6]OTCHET!I425+[6]OTCHET!I426</f>
        <v>0</v>
      </c>
      <c r="J58" s="307">
        <f>+[6]OTCHET!J383+[6]OTCHET!J391+[6]OTCHET!J396+[6]OTCHET!J399+[6]OTCHET!J402+[6]OTCHET!J405+[6]OTCHET!J406+[6]OTCHET!J409+[6]OTCHET!J422+[6]OTCHET!J423+[6]OTCHET!J424+[6]OTCHET!J425+[6]OTCHET!J426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+[6]OTCHET!E422+[6]OTCHET!E423+[6]OTCHET!E424+[6]OTCHET!E425+[6]OTCHET!E426</f>
        <v>0</v>
      </c>
      <c r="F59" s="309">
        <f t="shared" si="1"/>
        <v>0</v>
      </c>
      <c r="G59" s="310">
        <f>+[6]OTCHET!G422+[6]OTCHET!G423+[6]OTCHET!G424+[6]OTCHET!G425+[6]OTCHET!G426</f>
        <v>0</v>
      </c>
      <c r="H59" s="311">
        <f>+[6]OTCHET!H422+[6]OTCHET!H423+[6]OTCHET!H424+[6]OTCHET!H425+[6]OTCHET!H426</f>
        <v>0</v>
      </c>
      <c r="I59" s="311">
        <f>+[6]OTCHET!I422+[6]OTCHET!I423+[6]OTCHET!I424+[6]OTCHET!I425+[6]OTCHET!I426</f>
        <v>0</v>
      </c>
      <c r="J59" s="312">
        <f>+[6]OTCHET!J422+[6]OTCHET!J423+[6]OTCHET!J424+[6]OTCHET!J425+[6]OTCHET!J426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[6]OTCHET!E405</f>
        <v>0</v>
      </c>
      <c r="F60" s="316">
        <f t="shared" si="1"/>
        <v>0</v>
      </c>
      <c r="G60" s="317">
        <f>[6]OTCHET!G405</f>
        <v>0</v>
      </c>
      <c r="H60" s="318">
        <f>[6]OTCHET!H405</f>
        <v>0</v>
      </c>
      <c r="I60" s="318">
        <f>[6]OTCHET!I405</f>
        <v>0</v>
      </c>
      <c r="J60" s="319">
        <f>[6]OTCHET!J405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[6]OTCHET!E412</f>
        <v>0</v>
      </c>
      <c r="F62" s="199">
        <f t="shared" si="1"/>
        <v>164428</v>
      </c>
      <c r="G62" s="200">
        <f>[6]OTCHET!G412</f>
        <v>0</v>
      </c>
      <c r="H62" s="201">
        <f>[6]OTCHET!H412</f>
        <v>0</v>
      </c>
      <c r="I62" s="201">
        <f>[6]OTCHET!I412</f>
        <v>0</v>
      </c>
      <c r="J62" s="202">
        <f>[6]OTCHET!J412</f>
        <v>164428</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+[6]OTCHET!E249</f>
        <v>0</v>
      </c>
      <c r="F63" s="328">
        <f t="shared" si="1"/>
        <v>0</v>
      </c>
      <c r="G63" s="329">
        <f>+[6]OTCHET!G249</f>
        <v>0</v>
      </c>
      <c r="H63" s="330">
        <f>+[6]OTCHET!H249</f>
        <v>0</v>
      </c>
      <c r="I63" s="330">
        <f>+[6]OTCHET!I249</f>
        <v>0</v>
      </c>
      <c r="J63" s="331">
        <f>+[6]OTCHET!J249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-11247</v>
      </c>
      <c r="G64" s="337">
        <f t="shared" si="6"/>
        <v>-6776</v>
      </c>
      <c r="H64" s="338">
        <f t="shared" si="6"/>
        <v>0</v>
      </c>
      <c r="I64" s="338">
        <f t="shared" si="6"/>
        <v>-1971</v>
      </c>
      <c r="J64" s="339">
        <f t="shared" si="6"/>
        <v>-2500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11247</v>
      </c>
      <c r="G66" s="349">
        <f t="shared" ref="G66:L66" si="8">SUM(+G68+G76+G77+G84+G85+G86+G89+G90+G91+G92+G93+G94+G95)</f>
        <v>6776</v>
      </c>
      <c r="H66" s="350">
        <f>SUM(+H68+H76+H77+H84+H85+H86+H89+H90+H91+H92+H93+H94+H95)</f>
        <v>0</v>
      </c>
      <c r="I66" s="350">
        <f>SUM(+I68+I76+I77+I84+I85+I86+I89+I90+I91+I92+I93+I94+I95)</f>
        <v>1971</v>
      </c>
      <c r="J66" s="351">
        <f>SUM(+J68+J76+J77+J84+J85+J86+J89+J90+J91+J92+J93+J94+J95)</f>
        <v>2500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+[6]OTCHET!E482+[6]OTCHET!E483+[6]OTCHET!E486+[6]OTCHET!E487+[6]OTCHET!E490+[6]OTCHET!E491+[6]OTCHET!E495</f>
        <v>0</v>
      </c>
      <c r="F69" s="367">
        <f t="shared" si="1"/>
        <v>0</v>
      </c>
      <c r="G69" s="368">
        <f>+[6]OTCHET!G482+[6]OTCHET!G483+[6]OTCHET!G486+[6]OTCHET!G487+[6]OTCHET!G490+[6]OTCHET!G491+[6]OTCHET!G495</f>
        <v>0</v>
      </c>
      <c r="H69" s="369">
        <f>+[6]OTCHET!H482+[6]OTCHET!H483+[6]OTCHET!H486+[6]OTCHET!H487+[6]OTCHET!H490+[6]OTCHET!H491+[6]OTCHET!H495</f>
        <v>0</v>
      </c>
      <c r="I69" s="369">
        <f>+[6]OTCHET!I482+[6]OTCHET!I483+[6]OTCHET!I486+[6]OTCHET!I487+[6]OTCHET!I490+[6]OTCHET!I491+[6]OTCHET!I495</f>
        <v>0</v>
      </c>
      <c r="J69" s="370">
        <f>+[6]OTCHET!J482+[6]OTCHET!J483+[6]OTCHET!J486+[6]OTCHET!J487+[6]OTCHET!J490+[6]OTCHET!J491+[6]OTCHET!J495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+[6]OTCHET!E484+[6]OTCHET!E485+[6]OTCHET!E488+[6]OTCHET!E489+[6]OTCHET!E492+[6]OTCHET!E493+[6]OTCHET!E494+[6]OTCHET!E496</f>
        <v>0</v>
      </c>
      <c r="F70" s="375">
        <f t="shared" si="1"/>
        <v>0</v>
      </c>
      <c r="G70" s="376">
        <f>+[6]OTCHET!G484+[6]OTCHET!G485+[6]OTCHET!G488+[6]OTCHET!G489+[6]OTCHET!G492+[6]OTCHET!G493+[6]OTCHET!G494+[6]OTCHET!G496</f>
        <v>0</v>
      </c>
      <c r="H70" s="377">
        <f>+[6]OTCHET!H484+[6]OTCHET!H485+[6]OTCHET!H488+[6]OTCHET!H489+[6]OTCHET!H492+[6]OTCHET!H493+[6]OTCHET!H494+[6]OTCHET!H496</f>
        <v>0</v>
      </c>
      <c r="I70" s="377">
        <f>+[6]OTCHET!I484+[6]OTCHET!I485+[6]OTCHET!I488+[6]OTCHET!I489+[6]OTCHET!I492+[6]OTCHET!I493+[6]OTCHET!I494+[6]OTCHET!I496</f>
        <v>0</v>
      </c>
      <c r="J70" s="378">
        <f>+[6]OTCHET!J484+[6]OTCHET!J485+[6]OTCHET!J488+[6]OTCHET!J489+[6]OTCHET!J492+[6]OTCHET!J493+[6]OTCHET!J494+[6]OTCHET!J496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+[6]OTCHET!E497</f>
        <v>0</v>
      </c>
      <c r="F71" s="375">
        <f t="shared" si="1"/>
        <v>0</v>
      </c>
      <c r="G71" s="376">
        <f>+[6]OTCHET!G497</f>
        <v>0</v>
      </c>
      <c r="H71" s="377">
        <f>+[6]OTCHET!H497</f>
        <v>0</v>
      </c>
      <c r="I71" s="377">
        <f>+[6]OTCHET!I497</f>
        <v>0</v>
      </c>
      <c r="J71" s="378">
        <f>+[6]OTCHET!J497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+[6]OTCHET!E502</f>
        <v>0</v>
      </c>
      <c r="F72" s="375">
        <f t="shared" si="1"/>
        <v>0</v>
      </c>
      <c r="G72" s="376">
        <f>+[6]OTCHET!G502</f>
        <v>0</v>
      </c>
      <c r="H72" s="377">
        <f>+[6]OTCHET!H502</f>
        <v>0</v>
      </c>
      <c r="I72" s="377">
        <f>+[6]OTCHET!I502</f>
        <v>0</v>
      </c>
      <c r="J72" s="378">
        <f>+[6]OTCHET!J502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+[6]OTCHET!E542</f>
        <v>0</v>
      </c>
      <c r="F73" s="375">
        <f t="shared" si="1"/>
        <v>0</v>
      </c>
      <c r="G73" s="376">
        <f>+[6]OTCHET!G542</f>
        <v>0</v>
      </c>
      <c r="H73" s="377">
        <f>+[6]OTCHET!H542</f>
        <v>0</v>
      </c>
      <c r="I73" s="377">
        <f>+[6]OTCHET!I542</f>
        <v>0</v>
      </c>
      <c r="J73" s="378">
        <f>+[6]OTCHET!J542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+[6]OTCHET!E581+[6]OTCHET!E582</f>
        <v>0</v>
      </c>
      <c r="F74" s="375">
        <f t="shared" si="1"/>
        <v>0</v>
      </c>
      <c r="G74" s="376">
        <f>+[6]OTCHET!G581+[6]OTCHET!G582</f>
        <v>0</v>
      </c>
      <c r="H74" s="377">
        <f>+[6]OTCHET!H581+[6]OTCHET!H582</f>
        <v>0</v>
      </c>
      <c r="I74" s="377">
        <f>+[6]OTCHET!I581+[6]OTCHET!I582</f>
        <v>0</v>
      </c>
      <c r="J74" s="378">
        <f>+[6]OTCHET!J581+[6]OTCHET!J582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+[6]OTCHET!E583+[6]OTCHET!E584+[6]OTCHET!E585</f>
        <v>0</v>
      </c>
      <c r="F75" s="382">
        <f t="shared" si="1"/>
        <v>0</v>
      </c>
      <c r="G75" s="383">
        <f>+[6]OTCHET!G583+[6]OTCHET!G584+[6]OTCHET!G585</f>
        <v>0</v>
      </c>
      <c r="H75" s="384">
        <f>+[6]OTCHET!H583+[6]OTCHET!H584+[6]OTCHET!H585</f>
        <v>0</v>
      </c>
      <c r="I75" s="384">
        <f>+[6]OTCHET!I583+[6]OTCHET!I584+[6]OTCHET!I585</f>
        <v>0</v>
      </c>
      <c r="J75" s="385">
        <f>+[6]OTCHET!J583+[6]OTCHET!J584+[6]OTCHET!J585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[6]OTCHET!E461</f>
        <v>0</v>
      </c>
      <c r="F76" s="299">
        <f t="shared" si="1"/>
        <v>0</v>
      </c>
      <c r="G76" s="300">
        <f>[6]OTCHET!G461</f>
        <v>0</v>
      </c>
      <c r="H76" s="301">
        <f>[6]OTCHET!H461</f>
        <v>0</v>
      </c>
      <c r="I76" s="301">
        <f>[6]OTCHET!I461</f>
        <v>0</v>
      </c>
      <c r="J76" s="302">
        <f>[6]OTCHET!J461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+[6]OTCHET!E466+[6]OTCHET!E469</f>
        <v>0</v>
      </c>
      <c r="F78" s="367">
        <f t="shared" si="1"/>
        <v>0</v>
      </c>
      <c r="G78" s="368">
        <f>+[6]OTCHET!G466+[6]OTCHET!G469</f>
        <v>0</v>
      </c>
      <c r="H78" s="369">
        <f>+[6]OTCHET!H466+[6]OTCHET!H469</f>
        <v>0</v>
      </c>
      <c r="I78" s="369">
        <f>+[6]OTCHET!I466+[6]OTCHET!I469</f>
        <v>0</v>
      </c>
      <c r="J78" s="370">
        <f>+[6]OTCHET!J466+[6]OTCHET!J469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+[6]OTCHET!E467+[6]OTCHET!E470</f>
        <v>0</v>
      </c>
      <c r="F79" s="375">
        <f t="shared" si="1"/>
        <v>0</v>
      </c>
      <c r="G79" s="376">
        <f>+[6]OTCHET!G467+[6]OTCHET!G470</f>
        <v>0</v>
      </c>
      <c r="H79" s="377">
        <f>+[6]OTCHET!H467+[6]OTCHET!H470</f>
        <v>0</v>
      </c>
      <c r="I79" s="377">
        <f>+[6]OTCHET!I467+[6]OTCHET!I470</f>
        <v>0</v>
      </c>
      <c r="J79" s="378">
        <f>+[6]OTCHET!J467+[6]OTCHET!J470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[6]OTCHET!E471</f>
        <v>0</v>
      </c>
      <c r="F80" s="375">
        <f t="shared" si="1"/>
        <v>0</v>
      </c>
      <c r="G80" s="376">
        <f>[6]OTCHET!G471</f>
        <v>0</v>
      </c>
      <c r="H80" s="377">
        <f>[6]OTCHET!H471</f>
        <v>0</v>
      </c>
      <c r="I80" s="377">
        <f>[6]OTCHET!I471</f>
        <v>0</v>
      </c>
      <c r="J80" s="378">
        <f>[6]OTCHET!J471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+[6]OTCHET!E479</f>
        <v>0</v>
      </c>
      <c r="F82" s="375">
        <f t="shared" si="1"/>
        <v>0</v>
      </c>
      <c r="G82" s="376">
        <f>+[6]OTCHET!G479</f>
        <v>0</v>
      </c>
      <c r="H82" s="377">
        <f>+[6]OTCHET!H479</f>
        <v>0</v>
      </c>
      <c r="I82" s="377">
        <f>+[6]OTCHET!I479</f>
        <v>0</v>
      </c>
      <c r="J82" s="378">
        <f>+[6]OTCHET!J479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+[6]OTCHET!E480</f>
        <v>0</v>
      </c>
      <c r="F83" s="382">
        <f t="shared" si="1"/>
        <v>0</v>
      </c>
      <c r="G83" s="383">
        <f>+[6]OTCHET!G480</f>
        <v>0</v>
      </c>
      <c r="H83" s="384">
        <f>+[6]OTCHET!H480</f>
        <v>0</v>
      </c>
      <c r="I83" s="384">
        <f>+[6]OTCHET!I480</f>
        <v>0</v>
      </c>
      <c r="J83" s="385">
        <f>+[6]OTCHET!J480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[6]OTCHET!E535</f>
        <v>0</v>
      </c>
      <c r="F84" s="299">
        <f t="shared" si="1"/>
        <v>0</v>
      </c>
      <c r="G84" s="300">
        <f>[6]OTCHET!G535</f>
        <v>0</v>
      </c>
      <c r="H84" s="301">
        <f>[6]OTCHET!H535</f>
        <v>0</v>
      </c>
      <c r="I84" s="301">
        <f>[6]OTCHET!I535</f>
        <v>0</v>
      </c>
      <c r="J84" s="302">
        <f>[6]OTCHET!J535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[6]OTCHET!E536</f>
        <v>0</v>
      </c>
      <c r="F85" s="304">
        <f t="shared" si="1"/>
        <v>0</v>
      </c>
      <c r="G85" s="305">
        <f>[6]OTCHET!G536</f>
        <v>0</v>
      </c>
      <c r="H85" s="306">
        <f>[6]OTCHET!H536</f>
        <v>0</v>
      </c>
      <c r="I85" s="306">
        <f>[6]OTCHET!I536</f>
        <v>0</v>
      </c>
      <c r="J85" s="307">
        <f>[6]OTCHET!J536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11576</v>
      </c>
      <c r="G86" s="310">
        <f t="shared" ref="G86:M86" si="11">+G87+G88</f>
        <v>9076</v>
      </c>
      <c r="H86" s="311">
        <f>+H87+H88</f>
        <v>0</v>
      </c>
      <c r="I86" s="311">
        <f>+I87+I88</f>
        <v>0</v>
      </c>
      <c r="J86" s="312">
        <f>+J87+J88</f>
        <v>2500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+[6]OTCHET!E503+[6]OTCHET!E512+[6]OTCHET!E516+[6]OTCHET!E543</f>
        <v>0</v>
      </c>
      <c r="F87" s="367">
        <f t="shared" si="1"/>
        <v>0</v>
      </c>
      <c r="G87" s="368">
        <f>+[6]OTCHET!G503+[6]OTCHET!G512+[6]OTCHET!G516+[6]OTCHET!G543</f>
        <v>0</v>
      </c>
      <c r="H87" s="369">
        <f>+[6]OTCHET!H503+[6]OTCHET!H512+[6]OTCHET!H516+[6]OTCHET!H543</f>
        <v>0</v>
      </c>
      <c r="I87" s="369">
        <f>+[6]OTCHET!I503+[6]OTCHET!I512+[6]OTCHET!I516+[6]OTCHET!I543</f>
        <v>0</v>
      </c>
      <c r="J87" s="370">
        <f>+[6]OTCHET!J503+[6]OTCHET!J512+[6]OTCHET!J516+[6]OTCHET!J543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+[6]OTCHET!E521+[6]OTCHET!E524+[6]OTCHET!E544</f>
        <v>0</v>
      </c>
      <c r="F88" s="382">
        <f t="shared" si="1"/>
        <v>11576</v>
      </c>
      <c r="G88" s="383">
        <f>+[6]OTCHET!G521+[6]OTCHET!G524+[6]OTCHET!G544</f>
        <v>9076</v>
      </c>
      <c r="H88" s="384">
        <f>+[6]OTCHET!H521+[6]OTCHET!H524+[6]OTCHET!H544</f>
        <v>0</v>
      </c>
      <c r="I88" s="384">
        <f>+[6]OTCHET!I521+[6]OTCHET!I524+[6]OTCHET!I544</f>
        <v>0</v>
      </c>
      <c r="J88" s="385">
        <f>+[6]OTCHET!J521+[6]OTCHET!J524+[6]OTCHET!J544</f>
        <v>2500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[6]OTCHET!E531</f>
        <v>0</v>
      </c>
      <c r="F89" s="299">
        <f t="shared" ref="F89:F96" si="12">+G89+H89+I89+J89</f>
        <v>0</v>
      </c>
      <c r="G89" s="300">
        <f>[6]OTCHET!G531</f>
        <v>0</v>
      </c>
      <c r="H89" s="301">
        <f>[6]OTCHET!H531</f>
        <v>0</v>
      </c>
      <c r="I89" s="301">
        <f>[6]OTCHET!I531</f>
        <v>0</v>
      </c>
      <c r="J89" s="302">
        <f>[6]OTCHET!J531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+[6]OTCHET!E567+[6]OTCHET!E568+[6]OTCHET!E569+[6]OTCHET!E570+[6]OTCHET!E571+[6]OTCHET!E572</f>
        <v>0</v>
      </c>
      <c r="F90" s="304">
        <f t="shared" si="12"/>
        <v>0</v>
      </c>
      <c r="G90" s="305">
        <f>+[6]OTCHET!G567+[6]OTCHET!G568+[6]OTCHET!G569+[6]OTCHET!G570+[6]OTCHET!G571+[6]OTCHET!G572</f>
        <v>0</v>
      </c>
      <c r="H90" s="306">
        <f>+[6]OTCHET!H567+[6]OTCHET!H568+[6]OTCHET!H569+[6]OTCHET!H570+[6]OTCHET!H571+[6]OTCHET!H572</f>
        <v>0</v>
      </c>
      <c r="I90" s="306">
        <f>+[6]OTCHET!I567+[6]OTCHET!I568+[6]OTCHET!I569+[6]OTCHET!I570+[6]OTCHET!I571+[6]OTCHET!I572</f>
        <v>0</v>
      </c>
      <c r="J90" s="307">
        <f>+[6]OTCHET!J567+[6]OTCHET!J568+[6]OTCHET!J569+[6]OTCHET!J570+[6]OTCHET!J571+[6]OTCHET!J572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+[6]OTCHET!E573+[6]OTCHET!E574+[6]OTCHET!E575+[6]OTCHET!E576+[6]OTCHET!E577+[6]OTCHET!E578+[6]OTCHET!E579</f>
        <v>0</v>
      </c>
      <c r="F91" s="168">
        <f t="shared" si="12"/>
        <v>-329</v>
      </c>
      <c r="G91" s="169">
        <f>+[6]OTCHET!G573+[6]OTCHET!G574+[6]OTCHET!G575+[6]OTCHET!G576+[6]OTCHET!G577+[6]OTCHET!G578+[6]OTCHET!G579</f>
        <v>0</v>
      </c>
      <c r="H91" s="170">
        <f>+[6]OTCHET!H573+[6]OTCHET!H574+[6]OTCHET!H575+[6]OTCHET!H576+[6]OTCHET!H577+[6]OTCHET!H578+[6]OTCHET!H579</f>
        <v>0</v>
      </c>
      <c r="I91" s="170">
        <f>+[6]OTCHET!I573+[6]OTCHET!I574+[6]OTCHET!I575+[6]OTCHET!I576+[6]OTCHET!I577+[6]OTCHET!I578+[6]OTCHET!I579</f>
        <v>-329</v>
      </c>
      <c r="J91" s="171">
        <f>+[6]OTCHET!J573+[6]OTCHET!J574+[6]OTCHET!J575+[6]OTCHET!J576+[6]OTCHET!J577+[6]OTCHET!J578+[6]OTCHET!J579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+[6]OTCHET!E580</f>
        <v>0</v>
      </c>
      <c r="F92" s="168">
        <f t="shared" si="12"/>
        <v>0</v>
      </c>
      <c r="G92" s="169">
        <f>+[6]OTCHET!G580</f>
        <v>0</v>
      </c>
      <c r="H92" s="170">
        <f>+[6]OTCHET!H580</f>
        <v>0</v>
      </c>
      <c r="I92" s="170">
        <f>+[6]OTCHET!I580</f>
        <v>0</v>
      </c>
      <c r="J92" s="171">
        <f>+[6]OTCHET!J580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+[6]OTCHET!E587+[6]OTCHET!E588</f>
        <v>0</v>
      </c>
      <c r="F93" s="168">
        <f t="shared" si="12"/>
        <v>0</v>
      </c>
      <c r="G93" s="169">
        <f>+[6]OTCHET!G587+[6]OTCHET!G588</f>
        <v>0</v>
      </c>
      <c r="H93" s="170">
        <f>+[6]OTCHET!H587+[6]OTCHET!H588</f>
        <v>0</v>
      </c>
      <c r="I93" s="170">
        <f>+[6]OTCHET!I587+[6]OTCHET!I588</f>
        <v>0</v>
      </c>
      <c r="J93" s="171">
        <f>+[6]OTCHET!J587+[6]OTCHET!J588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+[6]OTCHET!E589+[6]OTCHET!E590</f>
        <v>0</v>
      </c>
      <c r="F94" s="168">
        <f t="shared" si="12"/>
        <v>0</v>
      </c>
      <c r="G94" s="169">
        <f>+[6]OTCHET!G589+[6]OTCHET!G590</f>
        <v>0</v>
      </c>
      <c r="H94" s="170">
        <f>+[6]OTCHET!H589+[6]OTCHET!H590</f>
        <v>0</v>
      </c>
      <c r="I94" s="170">
        <f>+[6]OTCHET!I589+[6]OTCHET!I590</f>
        <v>0</v>
      </c>
      <c r="J94" s="171">
        <f>+[6]OTCHET!J589+[6]OTCHET!J590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[6]OTCHET!E591</f>
        <v>0</v>
      </c>
      <c r="F95" s="120">
        <f t="shared" si="12"/>
        <v>0</v>
      </c>
      <c r="G95" s="121">
        <f>[6]OTCHET!G591</f>
        <v>-2300</v>
      </c>
      <c r="H95" s="122">
        <f>[6]OTCHET!H591</f>
        <v>0</v>
      </c>
      <c r="I95" s="122">
        <f>[6]OTCHET!I591</f>
        <v>2300</v>
      </c>
      <c r="J95" s="123">
        <f>[6]OTCHET!J591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+[6]OTCHET!E594</f>
        <v>0</v>
      </c>
      <c r="F96" s="396">
        <f t="shared" si="12"/>
        <v>0</v>
      </c>
      <c r="G96" s="397">
        <f>+[6]OTCHET!G594</f>
        <v>0</v>
      </c>
      <c r="H96" s="398">
        <f>+[6]OTCHET!H594</f>
        <v>0</v>
      </c>
      <c r="I96" s="398">
        <f>+[6]OTCHET!I594</f>
        <v>0</v>
      </c>
      <c r="J96" s="399">
        <f>+[6]OTCHET!J594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+[6]OTCHET!H605</f>
        <v>0</v>
      </c>
      <c r="C107" s="421"/>
      <c r="D107" s="421"/>
      <c r="E107" s="426"/>
      <c r="F107" s="19"/>
      <c r="G107" s="427">
        <f>+[6]OTCHET!E605</f>
        <v>0</v>
      </c>
      <c r="H107" s="427">
        <f>+[6]OTCHET!F605</f>
        <v>0</v>
      </c>
      <c r="I107" s="428"/>
      <c r="J107" s="429" t="str">
        <f>+[6]OTCHET!B605</f>
        <v>30.06.2023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46" priority="21" stopIfTrue="1" operator="notEqual">
      <formula>0</formula>
    </cfRule>
  </conditionalFormatting>
  <conditionalFormatting sqref="E105:J105">
    <cfRule type="cellIs" dxfId="145" priority="20" stopIfTrue="1" operator="notEqual">
      <formula>0</formula>
    </cfRule>
  </conditionalFormatting>
  <conditionalFormatting sqref="G107:H107 B107">
    <cfRule type="cellIs" dxfId="144" priority="19" stopIfTrue="1" operator="equal">
      <formula>0</formula>
    </cfRule>
  </conditionalFormatting>
  <conditionalFormatting sqref="I114 E110">
    <cfRule type="cellIs" dxfId="143" priority="18" stopIfTrue="1" operator="equal">
      <formula>0</formula>
    </cfRule>
  </conditionalFormatting>
  <conditionalFormatting sqref="J107">
    <cfRule type="cellIs" dxfId="142" priority="17" stopIfTrue="1" operator="equal">
      <formula>0</formula>
    </cfRule>
  </conditionalFormatting>
  <conditionalFormatting sqref="E114:F114">
    <cfRule type="cellIs" dxfId="141" priority="16" stopIfTrue="1" operator="equal">
      <formula>0</formula>
    </cfRule>
  </conditionalFormatting>
  <conditionalFormatting sqref="F15">
    <cfRule type="cellIs" dxfId="140" priority="11" stopIfTrue="1" operator="equal">
      <formula>"Чужди средства"</formula>
    </cfRule>
    <cfRule type="cellIs" dxfId="139" priority="12" stopIfTrue="1" operator="equal">
      <formula>"СЕС - ДМП"</formula>
    </cfRule>
    <cfRule type="cellIs" dxfId="138" priority="13" stopIfTrue="1" operator="equal">
      <formula>"СЕС - РА"</formula>
    </cfRule>
    <cfRule type="cellIs" dxfId="137" priority="14" stopIfTrue="1" operator="equal">
      <formula>"СЕС - ДЕС"</formula>
    </cfRule>
    <cfRule type="cellIs" dxfId="136" priority="15" stopIfTrue="1" operator="equal">
      <formula>"СЕС - КСФ"</formula>
    </cfRule>
  </conditionalFormatting>
  <conditionalFormatting sqref="B105">
    <cfRule type="cellIs" dxfId="135" priority="10" stopIfTrue="1" operator="notEqual">
      <formula>0</formula>
    </cfRule>
  </conditionalFormatting>
  <conditionalFormatting sqref="I11:J11">
    <cfRule type="cellIs" dxfId="134" priority="6" stopIfTrue="1" operator="between">
      <formula>1000000000000</formula>
      <formula>9999999999999990</formula>
    </cfRule>
    <cfRule type="cellIs" dxfId="133" priority="7" stopIfTrue="1" operator="between">
      <formula>10000000000</formula>
      <formula>999999999999</formula>
    </cfRule>
    <cfRule type="cellIs" dxfId="132" priority="8" stopIfTrue="1" operator="between">
      <formula>1000000</formula>
      <formula>99999999</formula>
    </cfRule>
    <cfRule type="cellIs" dxfId="131" priority="9" stopIfTrue="1" operator="between">
      <formula>100</formula>
      <formula>9999</formula>
    </cfRule>
  </conditionalFormatting>
  <conditionalFormatting sqref="E15">
    <cfRule type="cellIs" dxfId="130" priority="1" stopIfTrue="1" operator="equal">
      <formula>"Чужди средства"</formula>
    </cfRule>
    <cfRule type="cellIs" dxfId="129" priority="2" stopIfTrue="1" operator="equal">
      <formula>"СЕС - ДМП"</formula>
    </cfRule>
    <cfRule type="cellIs" dxfId="128" priority="3" stopIfTrue="1" operator="equal">
      <formula>"СЕС - РА"</formula>
    </cfRule>
    <cfRule type="cellIs" dxfId="127" priority="4" stopIfTrue="1" operator="equal">
      <formula>"СЕС - ДЕС"</formula>
    </cfRule>
    <cfRule type="cellIs" dxfId="126"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+[7]OTCHET!B9</f>
        <v>РИОСВ - ПЛОВДИВ</v>
      </c>
      <c r="C11" s="22"/>
      <c r="D11" s="22"/>
      <c r="E11" s="23" t="s">
        <v>0</v>
      </c>
      <c r="F11" s="24">
        <f>[7]OTCHET!F9</f>
        <v>45138</v>
      </c>
      <c r="G11" s="25" t="s">
        <v>1</v>
      </c>
      <c r="H11" s="26">
        <f>+[7]OTCHET!H9</f>
        <v>471013</v>
      </c>
      <c r="I11" s="448">
        <f>+[7]OTCHET!I9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+[7]OTCHET!B12</f>
        <v>Министерство на околната среда и водите</v>
      </c>
      <c r="C13" s="31"/>
      <c r="D13" s="31"/>
      <c r="E13" s="35" t="str">
        <f>+[7]OTCHET!E12</f>
        <v>код по ЕБК:</v>
      </c>
      <c r="F13" s="36" t="str">
        <f>+[7]OTCHET!F12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+[7]OTCHET!E15</f>
        <v>0</v>
      </c>
      <c r="F15" s="41" t="str">
        <f>[7]OTCHET!F15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93448</v>
      </c>
      <c r="G22" s="103">
        <f t="shared" si="0"/>
        <v>96148</v>
      </c>
      <c r="H22" s="104">
        <f t="shared" si="0"/>
        <v>0</v>
      </c>
      <c r="I22" s="104">
        <f t="shared" si="0"/>
        <v>0</v>
      </c>
      <c r="J22" s="105">
        <f t="shared" si="0"/>
        <v>-2700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[7]OTCHET!E22+[7]OTCHET!E28+[7]OTCHET!E33+[7]OTCHET!E39+[7]OTCHET!E47+[7]OTCHET!E52+[7]OTCHET!E58+[7]OTCHET!E61+[7]OTCHET!E64+[7]OTCHET!E65+[7]OTCHET!E72+[7]OTCHET!E73</f>
        <v>0</v>
      </c>
      <c r="F23" s="111">
        <f t="shared" ref="F23:F88" si="1">+G23+H23+I23+J23</f>
        <v>0</v>
      </c>
      <c r="G23" s="112">
        <f>[7]OTCHET!G22+[7]OTCHET!G28+[7]OTCHET!G33+[7]OTCHET!G39+[7]OTCHET!G47+[7]OTCHET!G52+[7]OTCHET!G58+[7]OTCHET!G61+[7]OTCHET!G64+[7]OTCHET!G65+[7]OTCHET!G72+[7]OTCHET!G73</f>
        <v>0</v>
      </c>
      <c r="H23" s="113">
        <f>[7]OTCHET!H22+[7]OTCHET!H28+[7]OTCHET!H33+[7]OTCHET!H39+[7]OTCHET!H47+[7]OTCHET!H52+[7]OTCHET!H58+[7]OTCHET!H61+[7]OTCHET!H64+[7]OTCHET!H65+[7]OTCHET!H72+[7]OTCHET!H73</f>
        <v>0</v>
      </c>
      <c r="I23" s="113">
        <f>[7]OTCHET!I22+[7]OTCHET!I28+[7]OTCHET!I33+[7]OTCHET!I39+[7]OTCHET!I47+[7]OTCHET!I52+[7]OTCHET!I58+[7]OTCHET!I61+[7]OTCHET!I64+[7]OTCHET!I65+[7]OTCHET!I72+[7]OTCHET!I73</f>
        <v>0</v>
      </c>
      <c r="J23" s="114">
        <f>[7]OTCHET!J22+[7]OTCHET!J28+[7]OTCHET!J33+[7]OTCHET!J39+[7]OTCHET!J47+[7]OTCHET!J52+[7]OTCHET!J58+[7]OTCHET!J61+[7]OTCHET!J64+[7]OTCHET!J65+[7]OTCHET!J72+[7]OTCHET!J73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93448</v>
      </c>
      <c r="G25" s="128">
        <f t="shared" ref="G25:M25" si="2">+G26+G30+G31+G32+G33</f>
        <v>96148</v>
      </c>
      <c r="H25" s="129">
        <f>+H26+H30+H31+H32+H33</f>
        <v>0</v>
      </c>
      <c r="I25" s="129">
        <f>+I26+I30+I31+I32+I33</f>
        <v>0</v>
      </c>
      <c r="J25" s="130">
        <f>+J26+J30+J31+J32+J33</f>
        <v>-2700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[7]OTCHET!E74</f>
        <v>0</v>
      </c>
      <c r="F26" s="133">
        <f t="shared" si="1"/>
        <v>0</v>
      </c>
      <c r="G26" s="134">
        <f>[7]OTCHET!G74</f>
        <v>0</v>
      </c>
      <c r="H26" s="135">
        <f>[7]OTCHET!H74</f>
        <v>0</v>
      </c>
      <c r="I26" s="135">
        <f>[7]OTCHET!I74</f>
        <v>0</v>
      </c>
      <c r="J26" s="136">
        <f>[7]OTCHET!J74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[7]OTCHET!E75</f>
        <v>0</v>
      </c>
      <c r="F27" s="140">
        <f t="shared" si="1"/>
        <v>0</v>
      </c>
      <c r="G27" s="141">
        <f>[7]OTCHET!G75</f>
        <v>0</v>
      </c>
      <c r="H27" s="142">
        <f>[7]OTCHET!H75</f>
        <v>0</v>
      </c>
      <c r="I27" s="142">
        <f>[7]OTCHET!I75</f>
        <v>0</v>
      </c>
      <c r="J27" s="143">
        <f>[7]OTCHET!J75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[7]OTCHET!E77</f>
        <v>0</v>
      </c>
      <c r="F28" s="148">
        <f t="shared" si="1"/>
        <v>0</v>
      </c>
      <c r="G28" s="149">
        <f>[7]OTCHET!G77</f>
        <v>0</v>
      </c>
      <c r="H28" s="150">
        <f>[7]OTCHET!H77</f>
        <v>0</v>
      </c>
      <c r="I28" s="150">
        <f>[7]OTCHET!I77</f>
        <v>0</v>
      </c>
      <c r="J28" s="151">
        <f>[7]OTCHET!J77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+[7]OTCHET!E78+[7]OTCHET!E79</f>
        <v>0</v>
      </c>
      <c r="F29" s="156">
        <f t="shared" si="1"/>
        <v>0</v>
      </c>
      <c r="G29" s="157">
        <f>+[7]OTCHET!G78+[7]OTCHET!G79</f>
        <v>0</v>
      </c>
      <c r="H29" s="158">
        <f>+[7]OTCHET!H78+[7]OTCHET!H79</f>
        <v>0</v>
      </c>
      <c r="I29" s="158">
        <f>+[7]OTCHET!I78+[7]OTCHET!I79</f>
        <v>0</v>
      </c>
      <c r="J29" s="159">
        <f>+[7]OTCHET!J78+[7]OTCHET!J79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[7]OTCHET!E90+[7]OTCHET!E93+[7]OTCHET!E94</f>
        <v>0</v>
      </c>
      <c r="F30" s="162">
        <f t="shared" si="1"/>
        <v>87849</v>
      </c>
      <c r="G30" s="163">
        <f>[7]OTCHET!G90+[7]OTCHET!G93+[7]OTCHET!G94</f>
        <v>87849</v>
      </c>
      <c r="H30" s="164">
        <f>[7]OTCHET!H90+[7]OTCHET!H93+[7]OTCHET!H94</f>
        <v>0</v>
      </c>
      <c r="I30" s="164">
        <f>[7]OTCHET!I90+[7]OTCHET!I93+[7]OTCHET!I94</f>
        <v>0</v>
      </c>
      <c r="J30" s="165">
        <f>[7]OTCHET!J90+[7]OTCHET!J93+[7]OTCHET!J94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[7]OTCHET!E106</f>
        <v>0</v>
      </c>
      <c r="F31" s="168">
        <f t="shared" si="1"/>
        <v>7398</v>
      </c>
      <c r="G31" s="169">
        <f>[7]OTCHET!G106</f>
        <v>6839</v>
      </c>
      <c r="H31" s="170">
        <f>[7]OTCHET!H106</f>
        <v>0</v>
      </c>
      <c r="I31" s="170">
        <f>[7]OTCHET!I106</f>
        <v>0</v>
      </c>
      <c r="J31" s="171">
        <f>[7]OTCHET!J106</f>
        <v>559</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[7]OTCHET!E110+[7]OTCHET!E119+[7]OTCHET!E135+[7]OTCHET!E136</f>
        <v>0</v>
      </c>
      <c r="F32" s="168">
        <f t="shared" si="1"/>
        <v>-1799</v>
      </c>
      <c r="G32" s="169">
        <f>[7]OTCHET!G110+[7]OTCHET!G119+[7]OTCHET!G135+[7]OTCHET!G136</f>
        <v>1460</v>
      </c>
      <c r="H32" s="170">
        <f>[7]OTCHET!H110+[7]OTCHET!H119+[7]OTCHET!H135+[7]OTCHET!H136</f>
        <v>0</v>
      </c>
      <c r="I32" s="170">
        <f>[7]OTCHET!I110+[7]OTCHET!I119+[7]OTCHET!I135+[7]OTCHET!I136</f>
        <v>0</v>
      </c>
      <c r="J32" s="171">
        <f>[7]OTCHET!J110+[7]OTCHET!J119+[7]OTCHET!J135+[7]OTCHET!J136</f>
        <v>-3259</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[7]OTCHET!E123</f>
        <v>0</v>
      </c>
      <c r="F33" s="120">
        <f t="shared" si="1"/>
        <v>0</v>
      </c>
      <c r="G33" s="121">
        <f>[7]OTCHET!G123</f>
        <v>0</v>
      </c>
      <c r="H33" s="122">
        <f>[7]OTCHET!H123</f>
        <v>0</v>
      </c>
      <c r="I33" s="122">
        <f>[7]OTCHET!I123</f>
        <v>0</v>
      </c>
      <c r="J33" s="123">
        <f>[7]OTCHET!J123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+[7]OTCHET!E137</f>
        <v>0</v>
      </c>
      <c r="F36" s="191">
        <f t="shared" si="1"/>
        <v>0</v>
      </c>
      <c r="G36" s="192">
        <f>+[7]OTCHET!G137</f>
        <v>0</v>
      </c>
      <c r="H36" s="193">
        <f>+[7]OTCHET!H137</f>
        <v>0</v>
      </c>
      <c r="I36" s="193">
        <f>+[7]OTCHET!I137</f>
        <v>0</v>
      </c>
      <c r="J36" s="194">
        <f>+[7]OTCHET!J137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[7]OTCHET!E140+[7]OTCHET!E149+[7]OTCHET!E158</f>
        <v>0</v>
      </c>
      <c r="F37" s="199">
        <f t="shared" si="1"/>
        <v>0</v>
      </c>
      <c r="G37" s="200">
        <f>[7]OTCHET!G140+[7]OTCHET!G149+[7]OTCHET!G158</f>
        <v>0</v>
      </c>
      <c r="H37" s="201">
        <f>[7]OTCHET!H140+[7]OTCHET!H149+[7]OTCHET!H158</f>
        <v>0</v>
      </c>
      <c r="I37" s="201">
        <f>[7]OTCHET!I140+[7]OTCHET!I149+[7]OTCHET!I158</f>
        <v>0</v>
      </c>
      <c r="J37" s="202">
        <f>[7]OTCHET!J140+[7]OTCHET!J149+[7]OTCHET!J158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726578</v>
      </c>
      <c r="G38" s="210">
        <f t="shared" si="3"/>
        <v>525322</v>
      </c>
      <c r="H38" s="211">
        <f t="shared" si="3"/>
        <v>0</v>
      </c>
      <c r="I38" s="211">
        <f t="shared" si="3"/>
        <v>2264</v>
      </c>
      <c r="J38" s="212">
        <f t="shared" si="3"/>
        <v>198992</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654075</v>
      </c>
      <c r="G39" s="222">
        <f t="shared" si="4"/>
        <v>455083</v>
      </c>
      <c r="H39" s="223">
        <f t="shared" si="4"/>
        <v>0</v>
      </c>
      <c r="I39" s="223">
        <f t="shared" si="4"/>
        <v>0</v>
      </c>
      <c r="J39" s="224">
        <f t="shared" si="4"/>
        <v>198992</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[7]OTCHET!E187</f>
        <v>0</v>
      </c>
      <c r="F40" s="229">
        <f t="shared" si="1"/>
        <v>452390</v>
      </c>
      <c r="G40" s="230">
        <f>[7]OTCHET!G187</f>
        <v>400574</v>
      </c>
      <c r="H40" s="231">
        <f>[7]OTCHET!H187</f>
        <v>0</v>
      </c>
      <c r="I40" s="231">
        <f>[7]OTCHET!I187</f>
        <v>0</v>
      </c>
      <c r="J40" s="232">
        <f>[7]OTCHET!J187</f>
        <v>51816</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[7]OTCHET!E190</f>
        <v>0</v>
      </c>
      <c r="F41" s="237">
        <f t="shared" si="1"/>
        <v>58070</v>
      </c>
      <c r="G41" s="238">
        <f>[7]OTCHET!G190</f>
        <v>54509</v>
      </c>
      <c r="H41" s="239">
        <f>[7]OTCHET!H190</f>
        <v>0</v>
      </c>
      <c r="I41" s="239">
        <f>[7]OTCHET!I190</f>
        <v>0</v>
      </c>
      <c r="J41" s="240">
        <f>[7]OTCHET!J190</f>
        <v>3561</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+[7]OTCHET!E196+[7]OTCHET!E204</f>
        <v>0</v>
      </c>
      <c r="F42" s="244">
        <f t="shared" si="1"/>
        <v>143615</v>
      </c>
      <c r="G42" s="245">
        <f>+[7]OTCHET!G196+[7]OTCHET!G204</f>
        <v>0</v>
      </c>
      <c r="H42" s="246">
        <f>+[7]OTCHET!H196+[7]OTCHET!H204</f>
        <v>0</v>
      </c>
      <c r="I42" s="246">
        <f>+[7]OTCHET!I196+[7]OTCHET!I204</f>
        <v>0</v>
      </c>
      <c r="J42" s="247">
        <f>+[7]OTCHET!J196+[7]OTCHET!J204</f>
        <v>143615</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+[7]OTCHET!E205+[7]OTCHET!E223+[7]OTCHET!E271</f>
        <v>0</v>
      </c>
      <c r="F43" s="250">
        <f t="shared" si="1"/>
        <v>68235</v>
      </c>
      <c r="G43" s="251">
        <f>+[7]OTCHET!G205+[7]OTCHET!G223+[7]OTCHET!G271</f>
        <v>65971</v>
      </c>
      <c r="H43" s="252">
        <f>+[7]OTCHET!H205+[7]OTCHET!H223+[7]OTCHET!H271</f>
        <v>0</v>
      </c>
      <c r="I43" s="252">
        <f>+[7]OTCHET!I205+[7]OTCHET!I223+[7]OTCHET!I271</f>
        <v>2264</v>
      </c>
      <c r="J43" s="253">
        <f>+[7]OTCHET!J205+[7]OTCHET!J223+[7]OTCHET!J271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+[7]OTCHET!E227+[7]OTCHET!E233+[7]OTCHET!E236+[7]OTCHET!E237+[7]OTCHET!E238+[7]OTCHET!E239+[7]OTCHET!E240</f>
        <v>0</v>
      </c>
      <c r="F44" s="120">
        <f t="shared" si="1"/>
        <v>0</v>
      </c>
      <c r="G44" s="121">
        <f>+[7]OTCHET!G227+[7]OTCHET!G233+[7]OTCHET!G236+[7]OTCHET!G237+[7]OTCHET!G238+[7]OTCHET!G239+[7]OTCHET!G240</f>
        <v>0</v>
      </c>
      <c r="H44" s="122">
        <f>+[7]OTCHET!H227+[7]OTCHET!H233+[7]OTCHET!H236+[7]OTCHET!H237+[7]OTCHET!H238+[7]OTCHET!H239+[7]OTCHET!H240</f>
        <v>0</v>
      </c>
      <c r="I44" s="122">
        <f>+[7]OTCHET!I227+[7]OTCHET!I233+[7]OTCHET!I236+[7]OTCHET!I237+[7]OTCHET!I238+[7]OTCHET!I239+[7]OTCHET!I240</f>
        <v>0</v>
      </c>
      <c r="J44" s="123">
        <f>+[7]OTCHET!J227+[7]OTCHET!J233+[7]OTCHET!J236+[7]OTCHET!J237+[7]OTCHET!J238+[7]OTCHET!J239+[7]OTCHET!J240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+[7]OTCHET!E236+[7]OTCHET!E237+[7]OTCHET!E238+[7]OTCHET!E239+[7]OTCHET!E243+[7]OTCHET!E244+[7]OTCHET!E248</f>
        <v>0</v>
      </c>
      <c r="F45" s="256">
        <f t="shared" si="1"/>
        <v>0</v>
      </c>
      <c r="G45" s="257">
        <f>+[7]OTCHET!G236+[7]OTCHET!G237+[7]OTCHET!G238+[7]OTCHET!G239+[7]OTCHET!G243+[7]OTCHET!G244+[7]OTCHET!G248</f>
        <v>0</v>
      </c>
      <c r="H45" s="258">
        <f>+[7]OTCHET!H236+[7]OTCHET!H237+[7]OTCHET!H238+[7]OTCHET!H239+[7]OTCHET!H243+[7]OTCHET!H244+[7]OTCHET!H248</f>
        <v>0</v>
      </c>
      <c r="I45" s="259">
        <f>+[7]OTCHET!I236+[7]OTCHET!I237+[7]OTCHET!I238+[7]OTCHET!I239+[7]OTCHET!I243+[7]OTCHET!I244+[7]OTCHET!I248</f>
        <v>0</v>
      </c>
      <c r="J45" s="260">
        <f>+[7]OTCHET!J236+[7]OTCHET!J237+[7]OTCHET!J238+[7]OTCHET!J239+[7]OTCHET!J243+[7]OTCHET!J244+[7]OTCHET!J248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+[7]OTCHET!E255+[7]OTCHET!E256+[7]OTCHET!E257+[7]OTCHET!E258</f>
        <v>0</v>
      </c>
      <c r="F46" s="250">
        <f t="shared" si="1"/>
        <v>0</v>
      </c>
      <c r="G46" s="251">
        <f>+[7]OTCHET!G255+[7]OTCHET!G256+[7]OTCHET!G257+[7]OTCHET!G258</f>
        <v>0</v>
      </c>
      <c r="H46" s="252">
        <f>+[7]OTCHET!H255+[7]OTCHET!H256+[7]OTCHET!H257+[7]OTCHET!H258</f>
        <v>0</v>
      </c>
      <c r="I46" s="252">
        <f>+[7]OTCHET!I255+[7]OTCHET!I256+[7]OTCHET!I257+[7]OTCHET!I258</f>
        <v>0</v>
      </c>
      <c r="J46" s="253">
        <f>+[7]OTCHET!J255+[7]OTCHET!J256+[7]OTCHET!J257+[7]OTCHET!J258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+[7]OTCHET!E256</f>
        <v>0</v>
      </c>
      <c r="F47" s="256">
        <f t="shared" si="1"/>
        <v>0</v>
      </c>
      <c r="G47" s="257">
        <f>+[7]OTCHET!G256</f>
        <v>0</v>
      </c>
      <c r="H47" s="258">
        <f>+[7]OTCHET!H256</f>
        <v>0</v>
      </c>
      <c r="I47" s="259">
        <f>+[7]OTCHET!I256</f>
        <v>0</v>
      </c>
      <c r="J47" s="260">
        <f>+[7]OTCHET!J256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+[7]OTCHET!E265+[7]OTCHET!E269+[7]OTCHET!E270</f>
        <v>0</v>
      </c>
      <c r="F48" s="168">
        <f t="shared" si="1"/>
        <v>0</v>
      </c>
      <c r="G48" s="163">
        <f>+[7]OTCHET!G265+[7]OTCHET!G269+[7]OTCHET!G270</f>
        <v>0</v>
      </c>
      <c r="H48" s="164">
        <f>+[7]OTCHET!H265+[7]OTCHET!H269+[7]OTCHET!H270</f>
        <v>0</v>
      </c>
      <c r="I48" s="164">
        <f>+[7]OTCHET!I265+[7]OTCHET!I269+[7]OTCHET!I270</f>
        <v>0</v>
      </c>
      <c r="J48" s="165">
        <f>+[7]OTCHET!J265+[7]OTCHET!J269+[7]OTCHET!J270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[7]OTCHET!E275+[7]OTCHET!E276+[7]OTCHET!E284+[7]OTCHET!E287</f>
        <v>0</v>
      </c>
      <c r="F49" s="168">
        <f t="shared" si="1"/>
        <v>4268</v>
      </c>
      <c r="G49" s="169">
        <f>[7]OTCHET!G275+[7]OTCHET!G276+[7]OTCHET!G284+[7]OTCHET!G287</f>
        <v>4268</v>
      </c>
      <c r="H49" s="170">
        <f>[7]OTCHET!H275+[7]OTCHET!H276+[7]OTCHET!H284+[7]OTCHET!H287</f>
        <v>0</v>
      </c>
      <c r="I49" s="170">
        <f>[7]OTCHET!I275+[7]OTCHET!I276+[7]OTCHET!I284+[7]OTCHET!I287</f>
        <v>0</v>
      </c>
      <c r="J49" s="171">
        <f>[7]OTCHET!J275+[7]OTCHET!J276+[7]OTCHET!J284+[7]OTCHET!J287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+[7]OTCHET!E288</f>
        <v>0</v>
      </c>
      <c r="F50" s="168">
        <f t="shared" si="1"/>
        <v>0</v>
      </c>
      <c r="G50" s="169">
        <f>+[7]OTCHET!G288</f>
        <v>0</v>
      </c>
      <c r="H50" s="170">
        <f>+[7]OTCHET!H288</f>
        <v>0</v>
      </c>
      <c r="I50" s="170">
        <f>+[7]OTCHET!I288</f>
        <v>0</v>
      </c>
      <c r="J50" s="171">
        <f>+[7]OTCHET!J288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+[7]OTCHET!E272</f>
        <v>0</v>
      </c>
      <c r="F51" s="120">
        <f>+G51+H51+I51+J51</f>
        <v>0</v>
      </c>
      <c r="G51" s="121">
        <f>+[7]OTCHET!G272</f>
        <v>0</v>
      </c>
      <c r="H51" s="122">
        <f>+[7]OTCHET!H272</f>
        <v>0</v>
      </c>
      <c r="I51" s="122">
        <f>+[7]OTCHET!I272</f>
        <v>0</v>
      </c>
      <c r="J51" s="123">
        <f>+[7]OTCHET!J272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+[7]OTCHET!E293</f>
        <v>0</v>
      </c>
      <c r="F52" s="120">
        <f t="shared" si="1"/>
        <v>0</v>
      </c>
      <c r="G52" s="121">
        <f>+[7]OTCHET!G293</f>
        <v>0</v>
      </c>
      <c r="H52" s="122">
        <f>+[7]OTCHET!H293</f>
        <v>0</v>
      </c>
      <c r="I52" s="122">
        <f>+[7]OTCHET!I293</f>
        <v>0</v>
      </c>
      <c r="J52" s="123">
        <f>+[7]OTCHET!J293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[7]OTCHET!E294</f>
        <v>0</v>
      </c>
      <c r="F53" s="267">
        <f t="shared" si="1"/>
        <v>0</v>
      </c>
      <c r="G53" s="268">
        <f>[7]OTCHET!G294</f>
        <v>0</v>
      </c>
      <c r="H53" s="269">
        <f>[7]OTCHET!H294</f>
        <v>0</v>
      </c>
      <c r="I53" s="269">
        <f>[7]OTCHET!I294</f>
        <v>0</v>
      </c>
      <c r="J53" s="270">
        <f>[7]OTCHET!J294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[7]OTCHET!E296</f>
        <v>0</v>
      </c>
      <c r="F54" s="275">
        <f t="shared" si="1"/>
        <v>0</v>
      </c>
      <c r="G54" s="276">
        <f>[7]OTCHET!G296</f>
        <v>0</v>
      </c>
      <c r="H54" s="277">
        <f>[7]OTCHET!H296</f>
        <v>0</v>
      </c>
      <c r="I54" s="277">
        <f>[7]OTCHET!I296</f>
        <v>0</v>
      </c>
      <c r="J54" s="278">
        <f>[7]OTCHET!J296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+[7]OTCHET!E297</f>
        <v>0</v>
      </c>
      <c r="F55" s="284">
        <f t="shared" si="1"/>
        <v>0</v>
      </c>
      <c r="G55" s="285">
        <f>+[7]OTCHET!G297</f>
        <v>0</v>
      </c>
      <c r="H55" s="286">
        <f>+[7]OTCHET!H297</f>
        <v>0</v>
      </c>
      <c r="I55" s="286">
        <f>+[7]OTCHET!I297</f>
        <v>0</v>
      </c>
      <c r="J55" s="287">
        <f>+[7]OTCHET!J297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645405</v>
      </c>
      <c r="G56" s="294">
        <f t="shared" si="5"/>
        <v>446413</v>
      </c>
      <c r="H56" s="295">
        <f t="shared" si="5"/>
        <v>0</v>
      </c>
      <c r="I56" s="296">
        <f t="shared" si="5"/>
        <v>0</v>
      </c>
      <c r="J56" s="297">
        <f t="shared" si="5"/>
        <v>198992</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+[7]OTCHET!E361+[7]OTCHET!E375+[7]OTCHET!E388</f>
        <v>0</v>
      </c>
      <c r="F57" s="299">
        <f t="shared" si="1"/>
        <v>0</v>
      </c>
      <c r="G57" s="300">
        <f>+[7]OTCHET!G361+[7]OTCHET!G375+[7]OTCHET!G388</f>
        <v>0</v>
      </c>
      <c r="H57" s="301">
        <f>+[7]OTCHET!H361+[7]OTCHET!H375+[7]OTCHET!H388</f>
        <v>0</v>
      </c>
      <c r="I57" s="301">
        <f>+[7]OTCHET!I361+[7]OTCHET!I375+[7]OTCHET!I388</f>
        <v>0</v>
      </c>
      <c r="J57" s="302">
        <f>+[7]OTCHET!J361+[7]OTCHET!J375+[7]OTCHET!J388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+[7]OTCHET!E383+[7]OTCHET!E391+[7]OTCHET!E396+[7]OTCHET!E399+[7]OTCHET!E402+[7]OTCHET!E405+[7]OTCHET!E406+[7]OTCHET!E409+[7]OTCHET!E422+[7]OTCHET!E423+[7]OTCHET!E424+[7]OTCHET!E425+[7]OTCHET!E426</f>
        <v>0</v>
      </c>
      <c r="F58" s="304">
        <f t="shared" si="1"/>
        <v>446413</v>
      </c>
      <c r="G58" s="305">
        <f>+[7]OTCHET!G383+[7]OTCHET!G391+[7]OTCHET!G396+[7]OTCHET!G399+[7]OTCHET!G402+[7]OTCHET!G405+[7]OTCHET!G406+[7]OTCHET!G409+[7]OTCHET!G422+[7]OTCHET!G423+[7]OTCHET!G424+[7]OTCHET!G425+[7]OTCHET!G426</f>
        <v>446413</v>
      </c>
      <c r="H58" s="306">
        <f>+[7]OTCHET!H383+[7]OTCHET!H391+[7]OTCHET!H396+[7]OTCHET!H399+[7]OTCHET!H402+[7]OTCHET!H405+[7]OTCHET!H406+[7]OTCHET!H409+[7]OTCHET!H422+[7]OTCHET!H423+[7]OTCHET!H424+[7]OTCHET!H425+[7]OTCHET!H426</f>
        <v>0</v>
      </c>
      <c r="I58" s="306">
        <f>+[7]OTCHET!I383+[7]OTCHET!I391+[7]OTCHET!I396+[7]OTCHET!I399+[7]OTCHET!I402+[7]OTCHET!I405+[7]OTCHET!I406+[7]OTCHET!I409+[7]OTCHET!I422+[7]OTCHET!I423+[7]OTCHET!I424+[7]OTCHET!I425+[7]OTCHET!I426</f>
        <v>0</v>
      </c>
      <c r="J58" s="307">
        <f>+[7]OTCHET!J383+[7]OTCHET!J391+[7]OTCHET!J396+[7]OTCHET!J399+[7]OTCHET!J402+[7]OTCHET!J405+[7]OTCHET!J406+[7]OTCHET!J409+[7]OTCHET!J422+[7]OTCHET!J423+[7]OTCHET!J424+[7]OTCHET!J425+[7]OTCHET!J426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+[7]OTCHET!E422+[7]OTCHET!E423+[7]OTCHET!E424+[7]OTCHET!E425+[7]OTCHET!E426</f>
        <v>0</v>
      </c>
      <c r="F59" s="309">
        <f t="shared" si="1"/>
        <v>0</v>
      </c>
      <c r="G59" s="310">
        <f>+[7]OTCHET!G422+[7]OTCHET!G423+[7]OTCHET!G424+[7]OTCHET!G425+[7]OTCHET!G426</f>
        <v>0</v>
      </c>
      <c r="H59" s="311">
        <f>+[7]OTCHET!H422+[7]OTCHET!H423+[7]OTCHET!H424+[7]OTCHET!H425+[7]OTCHET!H426</f>
        <v>0</v>
      </c>
      <c r="I59" s="311">
        <f>+[7]OTCHET!I422+[7]OTCHET!I423+[7]OTCHET!I424+[7]OTCHET!I425+[7]OTCHET!I426</f>
        <v>0</v>
      </c>
      <c r="J59" s="312">
        <f>+[7]OTCHET!J422+[7]OTCHET!J423+[7]OTCHET!J424+[7]OTCHET!J425+[7]OTCHET!J426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[7]OTCHET!E405</f>
        <v>0</v>
      </c>
      <c r="F60" s="316">
        <f t="shared" si="1"/>
        <v>0</v>
      </c>
      <c r="G60" s="317">
        <f>[7]OTCHET!G405</f>
        <v>0</v>
      </c>
      <c r="H60" s="318">
        <f>[7]OTCHET!H405</f>
        <v>0</v>
      </c>
      <c r="I60" s="318">
        <f>[7]OTCHET!I405</f>
        <v>0</v>
      </c>
      <c r="J60" s="319">
        <f>[7]OTCHET!J405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[7]OTCHET!E412</f>
        <v>0</v>
      </c>
      <c r="F62" s="199">
        <f t="shared" si="1"/>
        <v>198992</v>
      </c>
      <c r="G62" s="200">
        <f>[7]OTCHET!G412</f>
        <v>0</v>
      </c>
      <c r="H62" s="201">
        <f>[7]OTCHET!H412</f>
        <v>0</v>
      </c>
      <c r="I62" s="201">
        <f>[7]OTCHET!I412</f>
        <v>0</v>
      </c>
      <c r="J62" s="202">
        <f>[7]OTCHET!J412</f>
        <v>198992</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+[7]OTCHET!E249</f>
        <v>0</v>
      </c>
      <c r="F63" s="328">
        <f t="shared" si="1"/>
        <v>0</v>
      </c>
      <c r="G63" s="329">
        <f>+[7]OTCHET!G249</f>
        <v>0</v>
      </c>
      <c r="H63" s="330">
        <f>+[7]OTCHET!H249</f>
        <v>0</v>
      </c>
      <c r="I63" s="330">
        <f>+[7]OTCHET!I249</f>
        <v>0</v>
      </c>
      <c r="J63" s="331">
        <f>+[7]OTCHET!J249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12275</v>
      </c>
      <c r="G64" s="337">
        <f t="shared" si="6"/>
        <v>17239</v>
      </c>
      <c r="H64" s="338">
        <f t="shared" si="6"/>
        <v>0</v>
      </c>
      <c r="I64" s="338">
        <f t="shared" si="6"/>
        <v>-2264</v>
      </c>
      <c r="J64" s="339">
        <f t="shared" si="6"/>
        <v>-2700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-12275</v>
      </c>
      <c r="G66" s="349">
        <f t="shared" ref="G66:L66" si="8">SUM(+G68+G76+G77+G84+G85+G86+G89+G90+G91+G92+G93+G94+G95)</f>
        <v>-17239</v>
      </c>
      <c r="H66" s="350">
        <f>SUM(+H68+H76+H77+H84+H85+H86+H89+H90+H91+H92+H93+H94+H95)</f>
        <v>0</v>
      </c>
      <c r="I66" s="350">
        <f>SUM(+I68+I76+I77+I84+I85+I86+I89+I90+I91+I92+I93+I94+I95)</f>
        <v>2264</v>
      </c>
      <c r="J66" s="351">
        <f>SUM(+J68+J76+J77+J84+J85+J86+J89+J90+J91+J92+J93+J94+J95)</f>
        <v>2700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+[7]OTCHET!E482+[7]OTCHET!E483+[7]OTCHET!E486+[7]OTCHET!E487+[7]OTCHET!E490+[7]OTCHET!E491+[7]OTCHET!E495</f>
        <v>0</v>
      </c>
      <c r="F69" s="367">
        <f t="shared" si="1"/>
        <v>0</v>
      </c>
      <c r="G69" s="368">
        <f>+[7]OTCHET!G482+[7]OTCHET!G483+[7]OTCHET!G486+[7]OTCHET!G487+[7]OTCHET!G490+[7]OTCHET!G491+[7]OTCHET!G495</f>
        <v>0</v>
      </c>
      <c r="H69" s="369">
        <f>+[7]OTCHET!H482+[7]OTCHET!H483+[7]OTCHET!H486+[7]OTCHET!H487+[7]OTCHET!H490+[7]OTCHET!H491+[7]OTCHET!H495</f>
        <v>0</v>
      </c>
      <c r="I69" s="369">
        <f>+[7]OTCHET!I482+[7]OTCHET!I483+[7]OTCHET!I486+[7]OTCHET!I487+[7]OTCHET!I490+[7]OTCHET!I491+[7]OTCHET!I495</f>
        <v>0</v>
      </c>
      <c r="J69" s="370">
        <f>+[7]OTCHET!J482+[7]OTCHET!J483+[7]OTCHET!J486+[7]OTCHET!J487+[7]OTCHET!J490+[7]OTCHET!J491+[7]OTCHET!J495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+[7]OTCHET!E484+[7]OTCHET!E485+[7]OTCHET!E488+[7]OTCHET!E489+[7]OTCHET!E492+[7]OTCHET!E493+[7]OTCHET!E494+[7]OTCHET!E496</f>
        <v>0</v>
      </c>
      <c r="F70" s="375">
        <f t="shared" si="1"/>
        <v>0</v>
      </c>
      <c r="G70" s="376">
        <f>+[7]OTCHET!G484+[7]OTCHET!G485+[7]OTCHET!G488+[7]OTCHET!G489+[7]OTCHET!G492+[7]OTCHET!G493+[7]OTCHET!G494+[7]OTCHET!G496</f>
        <v>0</v>
      </c>
      <c r="H70" s="377">
        <f>+[7]OTCHET!H484+[7]OTCHET!H485+[7]OTCHET!H488+[7]OTCHET!H489+[7]OTCHET!H492+[7]OTCHET!H493+[7]OTCHET!H494+[7]OTCHET!H496</f>
        <v>0</v>
      </c>
      <c r="I70" s="377">
        <f>+[7]OTCHET!I484+[7]OTCHET!I485+[7]OTCHET!I488+[7]OTCHET!I489+[7]OTCHET!I492+[7]OTCHET!I493+[7]OTCHET!I494+[7]OTCHET!I496</f>
        <v>0</v>
      </c>
      <c r="J70" s="378">
        <f>+[7]OTCHET!J484+[7]OTCHET!J485+[7]OTCHET!J488+[7]OTCHET!J489+[7]OTCHET!J492+[7]OTCHET!J493+[7]OTCHET!J494+[7]OTCHET!J496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+[7]OTCHET!E497</f>
        <v>0</v>
      </c>
      <c r="F71" s="375">
        <f t="shared" si="1"/>
        <v>0</v>
      </c>
      <c r="G71" s="376">
        <f>+[7]OTCHET!G497</f>
        <v>0</v>
      </c>
      <c r="H71" s="377">
        <f>+[7]OTCHET!H497</f>
        <v>0</v>
      </c>
      <c r="I71" s="377">
        <f>+[7]OTCHET!I497</f>
        <v>0</v>
      </c>
      <c r="J71" s="378">
        <f>+[7]OTCHET!J497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+[7]OTCHET!E502</f>
        <v>0</v>
      </c>
      <c r="F72" s="375">
        <f t="shared" si="1"/>
        <v>0</v>
      </c>
      <c r="G72" s="376">
        <f>+[7]OTCHET!G502</f>
        <v>0</v>
      </c>
      <c r="H72" s="377">
        <f>+[7]OTCHET!H502</f>
        <v>0</v>
      </c>
      <c r="I72" s="377">
        <f>+[7]OTCHET!I502</f>
        <v>0</v>
      </c>
      <c r="J72" s="378">
        <f>+[7]OTCHET!J502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+[7]OTCHET!E542</f>
        <v>0</v>
      </c>
      <c r="F73" s="375">
        <f t="shared" si="1"/>
        <v>0</v>
      </c>
      <c r="G73" s="376">
        <f>+[7]OTCHET!G542</f>
        <v>0</v>
      </c>
      <c r="H73" s="377">
        <f>+[7]OTCHET!H542</f>
        <v>0</v>
      </c>
      <c r="I73" s="377">
        <f>+[7]OTCHET!I542</f>
        <v>0</v>
      </c>
      <c r="J73" s="378">
        <f>+[7]OTCHET!J542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+[7]OTCHET!E581+[7]OTCHET!E582</f>
        <v>0</v>
      </c>
      <c r="F74" s="375">
        <f t="shared" si="1"/>
        <v>0</v>
      </c>
      <c r="G74" s="376">
        <f>+[7]OTCHET!G581+[7]OTCHET!G582</f>
        <v>0</v>
      </c>
      <c r="H74" s="377">
        <f>+[7]OTCHET!H581+[7]OTCHET!H582</f>
        <v>0</v>
      </c>
      <c r="I74" s="377">
        <f>+[7]OTCHET!I581+[7]OTCHET!I582</f>
        <v>0</v>
      </c>
      <c r="J74" s="378">
        <f>+[7]OTCHET!J581+[7]OTCHET!J582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+[7]OTCHET!E583+[7]OTCHET!E584+[7]OTCHET!E585</f>
        <v>0</v>
      </c>
      <c r="F75" s="382">
        <f t="shared" si="1"/>
        <v>0</v>
      </c>
      <c r="G75" s="383">
        <f>+[7]OTCHET!G583+[7]OTCHET!G584+[7]OTCHET!G585</f>
        <v>0</v>
      </c>
      <c r="H75" s="384">
        <f>+[7]OTCHET!H583+[7]OTCHET!H584+[7]OTCHET!H585</f>
        <v>0</v>
      </c>
      <c r="I75" s="384">
        <f>+[7]OTCHET!I583+[7]OTCHET!I584+[7]OTCHET!I585</f>
        <v>0</v>
      </c>
      <c r="J75" s="385">
        <f>+[7]OTCHET!J583+[7]OTCHET!J584+[7]OTCHET!J585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[7]OTCHET!E461</f>
        <v>0</v>
      </c>
      <c r="F76" s="299">
        <f t="shared" si="1"/>
        <v>0</v>
      </c>
      <c r="G76" s="300">
        <f>[7]OTCHET!G461</f>
        <v>0</v>
      </c>
      <c r="H76" s="301">
        <f>[7]OTCHET!H461</f>
        <v>0</v>
      </c>
      <c r="I76" s="301">
        <f>[7]OTCHET!I461</f>
        <v>0</v>
      </c>
      <c r="J76" s="302">
        <f>[7]OTCHET!J461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+[7]OTCHET!E466+[7]OTCHET!E469</f>
        <v>0</v>
      </c>
      <c r="F78" s="367">
        <f t="shared" si="1"/>
        <v>0</v>
      </c>
      <c r="G78" s="368">
        <f>+[7]OTCHET!G466+[7]OTCHET!G469</f>
        <v>0</v>
      </c>
      <c r="H78" s="369">
        <f>+[7]OTCHET!H466+[7]OTCHET!H469</f>
        <v>0</v>
      </c>
      <c r="I78" s="369">
        <f>+[7]OTCHET!I466+[7]OTCHET!I469</f>
        <v>0</v>
      </c>
      <c r="J78" s="370">
        <f>+[7]OTCHET!J466+[7]OTCHET!J469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+[7]OTCHET!E467+[7]OTCHET!E470</f>
        <v>0</v>
      </c>
      <c r="F79" s="375">
        <f t="shared" si="1"/>
        <v>0</v>
      </c>
      <c r="G79" s="376">
        <f>+[7]OTCHET!G467+[7]OTCHET!G470</f>
        <v>0</v>
      </c>
      <c r="H79" s="377">
        <f>+[7]OTCHET!H467+[7]OTCHET!H470</f>
        <v>0</v>
      </c>
      <c r="I79" s="377">
        <f>+[7]OTCHET!I467+[7]OTCHET!I470</f>
        <v>0</v>
      </c>
      <c r="J79" s="378">
        <f>+[7]OTCHET!J467+[7]OTCHET!J470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[7]OTCHET!E471</f>
        <v>0</v>
      </c>
      <c r="F80" s="375">
        <f t="shared" si="1"/>
        <v>0</v>
      </c>
      <c r="G80" s="376">
        <f>[7]OTCHET!G471</f>
        <v>0</v>
      </c>
      <c r="H80" s="377">
        <f>[7]OTCHET!H471</f>
        <v>0</v>
      </c>
      <c r="I80" s="377">
        <f>[7]OTCHET!I471</f>
        <v>0</v>
      </c>
      <c r="J80" s="378">
        <f>[7]OTCHET!J471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+[7]OTCHET!E479</f>
        <v>0</v>
      </c>
      <c r="F82" s="375">
        <f t="shared" si="1"/>
        <v>0</v>
      </c>
      <c r="G82" s="376">
        <f>+[7]OTCHET!G479</f>
        <v>0</v>
      </c>
      <c r="H82" s="377">
        <f>+[7]OTCHET!H479</f>
        <v>0</v>
      </c>
      <c r="I82" s="377">
        <f>+[7]OTCHET!I479</f>
        <v>0</v>
      </c>
      <c r="J82" s="378">
        <f>+[7]OTCHET!J479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+[7]OTCHET!E480</f>
        <v>0</v>
      </c>
      <c r="F83" s="382">
        <f t="shared" si="1"/>
        <v>0</v>
      </c>
      <c r="G83" s="383">
        <f>+[7]OTCHET!G480</f>
        <v>0</v>
      </c>
      <c r="H83" s="384">
        <f>+[7]OTCHET!H480</f>
        <v>0</v>
      </c>
      <c r="I83" s="384">
        <f>+[7]OTCHET!I480</f>
        <v>0</v>
      </c>
      <c r="J83" s="385">
        <f>+[7]OTCHET!J480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[7]OTCHET!E535</f>
        <v>0</v>
      </c>
      <c r="F84" s="299">
        <f t="shared" si="1"/>
        <v>0</v>
      </c>
      <c r="G84" s="300">
        <f>[7]OTCHET!G535</f>
        <v>0</v>
      </c>
      <c r="H84" s="301">
        <f>[7]OTCHET!H535</f>
        <v>0</v>
      </c>
      <c r="I84" s="301">
        <f>[7]OTCHET!I535</f>
        <v>0</v>
      </c>
      <c r="J84" s="302">
        <f>[7]OTCHET!J535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[7]OTCHET!E536</f>
        <v>0</v>
      </c>
      <c r="F85" s="304">
        <f t="shared" si="1"/>
        <v>0</v>
      </c>
      <c r="G85" s="305">
        <f>[7]OTCHET!G536</f>
        <v>0</v>
      </c>
      <c r="H85" s="306">
        <f>[7]OTCHET!H536</f>
        <v>0</v>
      </c>
      <c r="I85" s="306">
        <f>[7]OTCHET!I536</f>
        <v>0</v>
      </c>
      <c r="J85" s="307">
        <f>[7]OTCHET!J536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-12239</v>
      </c>
      <c r="G86" s="310">
        <f t="shared" ref="G86:M86" si="11">+G87+G88</f>
        <v>-14939</v>
      </c>
      <c r="H86" s="311">
        <f>+H87+H88</f>
        <v>0</v>
      </c>
      <c r="I86" s="311">
        <f>+I87+I88</f>
        <v>0</v>
      </c>
      <c r="J86" s="312">
        <f>+J87+J88</f>
        <v>2700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+[7]OTCHET!E503+[7]OTCHET!E512+[7]OTCHET!E516+[7]OTCHET!E543</f>
        <v>0</v>
      </c>
      <c r="F87" s="367">
        <f t="shared" si="1"/>
        <v>0</v>
      </c>
      <c r="G87" s="368">
        <f>+[7]OTCHET!G503+[7]OTCHET!G512+[7]OTCHET!G516+[7]OTCHET!G543</f>
        <v>0</v>
      </c>
      <c r="H87" s="369">
        <f>+[7]OTCHET!H503+[7]OTCHET!H512+[7]OTCHET!H516+[7]OTCHET!H543</f>
        <v>0</v>
      </c>
      <c r="I87" s="369">
        <f>+[7]OTCHET!I503+[7]OTCHET!I512+[7]OTCHET!I516+[7]OTCHET!I543</f>
        <v>0</v>
      </c>
      <c r="J87" s="370">
        <f>+[7]OTCHET!J503+[7]OTCHET!J512+[7]OTCHET!J516+[7]OTCHET!J543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+[7]OTCHET!E521+[7]OTCHET!E524+[7]OTCHET!E544</f>
        <v>0</v>
      </c>
      <c r="F88" s="382">
        <f t="shared" si="1"/>
        <v>-12239</v>
      </c>
      <c r="G88" s="383">
        <f>+[7]OTCHET!G521+[7]OTCHET!G524+[7]OTCHET!G544</f>
        <v>-14939</v>
      </c>
      <c r="H88" s="384">
        <f>+[7]OTCHET!H521+[7]OTCHET!H524+[7]OTCHET!H544</f>
        <v>0</v>
      </c>
      <c r="I88" s="384">
        <f>+[7]OTCHET!I521+[7]OTCHET!I524+[7]OTCHET!I544</f>
        <v>0</v>
      </c>
      <c r="J88" s="385">
        <f>+[7]OTCHET!J521+[7]OTCHET!J524+[7]OTCHET!J544</f>
        <v>2700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[7]OTCHET!E531</f>
        <v>0</v>
      </c>
      <c r="F89" s="299">
        <f t="shared" ref="F89:F96" si="12">+G89+H89+I89+J89</f>
        <v>0</v>
      </c>
      <c r="G89" s="300">
        <f>[7]OTCHET!G531</f>
        <v>0</v>
      </c>
      <c r="H89" s="301">
        <f>[7]OTCHET!H531</f>
        <v>0</v>
      </c>
      <c r="I89" s="301">
        <f>[7]OTCHET!I531</f>
        <v>0</v>
      </c>
      <c r="J89" s="302">
        <f>[7]OTCHET!J531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+[7]OTCHET!E567+[7]OTCHET!E568+[7]OTCHET!E569+[7]OTCHET!E570+[7]OTCHET!E571+[7]OTCHET!E572</f>
        <v>0</v>
      </c>
      <c r="F90" s="304">
        <f t="shared" si="12"/>
        <v>0</v>
      </c>
      <c r="G90" s="305">
        <f>+[7]OTCHET!G567+[7]OTCHET!G568+[7]OTCHET!G569+[7]OTCHET!G570+[7]OTCHET!G571+[7]OTCHET!G572</f>
        <v>0</v>
      </c>
      <c r="H90" s="306">
        <f>+[7]OTCHET!H567+[7]OTCHET!H568+[7]OTCHET!H569+[7]OTCHET!H570+[7]OTCHET!H571+[7]OTCHET!H572</f>
        <v>0</v>
      </c>
      <c r="I90" s="306">
        <f>+[7]OTCHET!I567+[7]OTCHET!I568+[7]OTCHET!I569+[7]OTCHET!I570+[7]OTCHET!I571+[7]OTCHET!I572</f>
        <v>0</v>
      </c>
      <c r="J90" s="307">
        <f>+[7]OTCHET!J567+[7]OTCHET!J568+[7]OTCHET!J569+[7]OTCHET!J570+[7]OTCHET!J571+[7]OTCHET!J572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+[7]OTCHET!E573+[7]OTCHET!E574+[7]OTCHET!E575+[7]OTCHET!E576+[7]OTCHET!E577+[7]OTCHET!E578+[7]OTCHET!E579</f>
        <v>0</v>
      </c>
      <c r="F91" s="168">
        <f t="shared" si="12"/>
        <v>-36</v>
      </c>
      <c r="G91" s="169">
        <f>+[7]OTCHET!G573+[7]OTCHET!G574+[7]OTCHET!G575+[7]OTCHET!G576+[7]OTCHET!G577+[7]OTCHET!G578+[7]OTCHET!G579</f>
        <v>0</v>
      </c>
      <c r="H91" s="170">
        <f>+[7]OTCHET!H573+[7]OTCHET!H574+[7]OTCHET!H575+[7]OTCHET!H576+[7]OTCHET!H577+[7]OTCHET!H578+[7]OTCHET!H579</f>
        <v>0</v>
      </c>
      <c r="I91" s="170">
        <f>+[7]OTCHET!I573+[7]OTCHET!I574+[7]OTCHET!I575+[7]OTCHET!I576+[7]OTCHET!I577+[7]OTCHET!I578+[7]OTCHET!I579</f>
        <v>-36</v>
      </c>
      <c r="J91" s="171">
        <f>+[7]OTCHET!J573+[7]OTCHET!J574+[7]OTCHET!J575+[7]OTCHET!J576+[7]OTCHET!J577+[7]OTCHET!J578+[7]OTCHET!J579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+[7]OTCHET!E580</f>
        <v>0</v>
      </c>
      <c r="F92" s="168">
        <f t="shared" si="12"/>
        <v>0</v>
      </c>
      <c r="G92" s="169">
        <f>+[7]OTCHET!G580</f>
        <v>0</v>
      </c>
      <c r="H92" s="170">
        <f>+[7]OTCHET!H580</f>
        <v>0</v>
      </c>
      <c r="I92" s="170">
        <f>+[7]OTCHET!I580</f>
        <v>0</v>
      </c>
      <c r="J92" s="171">
        <f>+[7]OTCHET!J580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+[7]OTCHET!E587+[7]OTCHET!E588</f>
        <v>0</v>
      </c>
      <c r="F93" s="168">
        <f t="shared" si="12"/>
        <v>0</v>
      </c>
      <c r="G93" s="169">
        <f>+[7]OTCHET!G587+[7]OTCHET!G588</f>
        <v>0</v>
      </c>
      <c r="H93" s="170">
        <f>+[7]OTCHET!H587+[7]OTCHET!H588</f>
        <v>0</v>
      </c>
      <c r="I93" s="170">
        <f>+[7]OTCHET!I587+[7]OTCHET!I588</f>
        <v>0</v>
      </c>
      <c r="J93" s="171">
        <f>+[7]OTCHET!J587+[7]OTCHET!J588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+[7]OTCHET!E589+[7]OTCHET!E590</f>
        <v>0</v>
      </c>
      <c r="F94" s="168">
        <f t="shared" si="12"/>
        <v>0</v>
      </c>
      <c r="G94" s="169">
        <f>+[7]OTCHET!G589+[7]OTCHET!G590</f>
        <v>0</v>
      </c>
      <c r="H94" s="170">
        <f>+[7]OTCHET!H589+[7]OTCHET!H590</f>
        <v>0</v>
      </c>
      <c r="I94" s="170">
        <f>+[7]OTCHET!I589+[7]OTCHET!I590</f>
        <v>0</v>
      </c>
      <c r="J94" s="171">
        <f>+[7]OTCHET!J589+[7]OTCHET!J590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[7]OTCHET!E591</f>
        <v>0</v>
      </c>
      <c r="F95" s="120">
        <f t="shared" si="12"/>
        <v>0</v>
      </c>
      <c r="G95" s="121">
        <f>[7]OTCHET!G591</f>
        <v>-2300</v>
      </c>
      <c r="H95" s="122">
        <f>[7]OTCHET!H591</f>
        <v>0</v>
      </c>
      <c r="I95" s="122">
        <f>[7]OTCHET!I591</f>
        <v>2300</v>
      </c>
      <c r="J95" s="123">
        <f>[7]OTCHET!J591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+[7]OTCHET!E594</f>
        <v>0</v>
      </c>
      <c r="F96" s="396">
        <f t="shared" si="12"/>
        <v>0</v>
      </c>
      <c r="G96" s="397">
        <f>+[7]OTCHET!G594</f>
        <v>0</v>
      </c>
      <c r="H96" s="398">
        <f>+[7]OTCHET!H594</f>
        <v>0</v>
      </c>
      <c r="I96" s="398">
        <f>+[7]OTCHET!I594</f>
        <v>0</v>
      </c>
      <c r="J96" s="399">
        <f>+[7]OTCHET!J594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+[7]OTCHET!H605</f>
        <v>0</v>
      </c>
      <c r="C107" s="421"/>
      <c r="D107" s="421"/>
      <c r="E107" s="426"/>
      <c r="F107" s="19"/>
      <c r="G107" s="427">
        <f>+[7]OTCHET!E605</f>
        <v>0</v>
      </c>
      <c r="H107" s="427">
        <f>+[7]OTCHET!F605</f>
        <v>0</v>
      </c>
      <c r="I107" s="428"/>
      <c r="J107" s="429" t="str">
        <f>+[7]OTCHET!B605</f>
        <v>31.07.2023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25" priority="21" stopIfTrue="1" operator="notEqual">
      <formula>0</formula>
    </cfRule>
  </conditionalFormatting>
  <conditionalFormatting sqref="E105:J105">
    <cfRule type="cellIs" dxfId="124" priority="20" stopIfTrue="1" operator="notEqual">
      <formula>0</formula>
    </cfRule>
  </conditionalFormatting>
  <conditionalFormatting sqref="G107:H107 B107">
    <cfRule type="cellIs" dxfId="123" priority="19" stopIfTrue="1" operator="equal">
      <formula>0</formula>
    </cfRule>
  </conditionalFormatting>
  <conditionalFormatting sqref="I114 E110">
    <cfRule type="cellIs" dxfId="122" priority="18" stopIfTrue="1" operator="equal">
      <formula>0</formula>
    </cfRule>
  </conditionalFormatting>
  <conditionalFormatting sqref="J107">
    <cfRule type="cellIs" dxfId="121" priority="17" stopIfTrue="1" operator="equal">
      <formula>0</formula>
    </cfRule>
  </conditionalFormatting>
  <conditionalFormatting sqref="E114:F114">
    <cfRule type="cellIs" dxfId="120" priority="16" stopIfTrue="1" operator="equal">
      <formula>0</formula>
    </cfRule>
  </conditionalFormatting>
  <conditionalFormatting sqref="F15">
    <cfRule type="cellIs" dxfId="119" priority="11" stopIfTrue="1" operator="equal">
      <formula>"Чужди средства"</formula>
    </cfRule>
    <cfRule type="cellIs" dxfId="118" priority="12" stopIfTrue="1" operator="equal">
      <formula>"СЕС - ДМП"</formula>
    </cfRule>
    <cfRule type="cellIs" dxfId="117" priority="13" stopIfTrue="1" operator="equal">
      <formula>"СЕС - РА"</formula>
    </cfRule>
    <cfRule type="cellIs" dxfId="116" priority="14" stopIfTrue="1" operator="equal">
      <formula>"СЕС - ДЕС"</formula>
    </cfRule>
    <cfRule type="cellIs" dxfId="115" priority="15" stopIfTrue="1" operator="equal">
      <formula>"СЕС - КСФ"</formula>
    </cfRule>
  </conditionalFormatting>
  <conditionalFormatting sqref="B105">
    <cfRule type="cellIs" dxfId="114" priority="10" stopIfTrue="1" operator="notEqual">
      <formula>0</formula>
    </cfRule>
  </conditionalFormatting>
  <conditionalFormatting sqref="I11:J11">
    <cfRule type="cellIs" dxfId="113" priority="6" stopIfTrue="1" operator="between">
      <formula>1000000000000</formula>
      <formula>9999999999999990</formula>
    </cfRule>
    <cfRule type="cellIs" dxfId="112" priority="7" stopIfTrue="1" operator="between">
      <formula>10000000000</formula>
      <formula>999999999999</formula>
    </cfRule>
    <cfRule type="cellIs" dxfId="111" priority="8" stopIfTrue="1" operator="between">
      <formula>1000000</formula>
      <formula>99999999</formula>
    </cfRule>
    <cfRule type="cellIs" dxfId="110" priority="9" stopIfTrue="1" operator="between">
      <formula>100</formula>
      <formula>9999</formula>
    </cfRule>
  </conditionalFormatting>
  <conditionalFormatting sqref="E15">
    <cfRule type="cellIs" dxfId="109" priority="1" stopIfTrue="1" operator="equal">
      <formula>"Чужди средства"</formula>
    </cfRule>
    <cfRule type="cellIs" dxfId="108" priority="2" stopIfTrue="1" operator="equal">
      <formula>"СЕС - ДМП"</formula>
    </cfRule>
    <cfRule type="cellIs" dxfId="107" priority="3" stopIfTrue="1" operator="equal">
      <formula>"СЕС - РА"</formula>
    </cfRule>
    <cfRule type="cellIs" dxfId="106" priority="4" stopIfTrue="1" operator="equal">
      <formula>"СЕС - ДЕС"</formula>
    </cfRule>
    <cfRule type="cellIs" dxfId="105"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+[8]OTCHET!B9</f>
        <v>РИОСВ - ПЛОВДИВ</v>
      </c>
      <c r="C11" s="22"/>
      <c r="D11" s="22"/>
      <c r="E11" s="23" t="s">
        <v>0</v>
      </c>
      <c r="F11" s="24">
        <f>[8]OTCHET!F9</f>
        <v>45169</v>
      </c>
      <c r="G11" s="25" t="s">
        <v>1</v>
      </c>
      <c r="H11" s="26">
        <f>+[8]OTCHET!H9</f>
        <v>471013</v>
      </c>
      <c r="I11" s="448">
        <f>+[8]OTCHET!I9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+[8]OTCHET!B12</f>
        <v>Министерство на околната среда и водите</v>
      </c>
      <c r="C13" s="31"/>
      <c r="D13" s="31"/>
      <c r="E13" s="35" t="str">
        <f>+[8]OTCHET!E12</f>
        <v>код по ЕБК:</v>
      </c>
      <c r="F13" s="36" t="str">
        <f>+[8]OTCHET!F12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+[8]OTCHET!E15</f>
        <v>0</v>
      </c>
      <c r="F15" s="41" t="str">
        <f>[8]OTCHET!F15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170000</v>
      </c>
      <c r="F22" s="102">
        <f t="shared" si="0"/>
        <v>89434</v>
      </c>
      <c r="G22" s="103">
        <f t="shared" si="0"/>
        <v>109334</v>
      </c>
      <c r="H22" s="104">
        <f t="shared" si="0"/>
        <v>0</v>
      </c>
      <c r="I22" s="104">
        <f t="shared" si="0"/>
        <v>0</v>
      </c>
      <c r="J22" s="105">
        <f t="shared" si="0"/>
        <v>-19900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[8]OTCHET!E22+[8]OTCHET!E28+[8]OTCHET!E33+[8]OTCHET!E39+[8]OTCHET!E47+[8]OTCHET!E52+[8]OTCHET!E58+[8]OTCHET!E61+[8]OTCHET!E64+[8]OTCHET!E65+[8]OTCHET!E72+[8]OTCHET!E73</f>
        <v>0</v>
      </c>
      <c r="F23" s="111">
        <f t="shared" ref="F23:F88" si="1">+G23+H23+I23+J23</f>
        <v>0</v>
      </c>
      <c r="G23" s="112">
        <f>[8]OTCHET!G22+[8]OTCHET!G28+[8]OTCHET!G33+[8]OTCHET!G39+[8]OTCHET!G47+[8]OTCHET!G52+[8]OTCHET!G58+[8]OTCHET!G61+[8]OTCHET!G64+[8]OTCHET!G65+[8]OTCHET!G72+[8]OTCHET!G73</f>
        <v>0</v>
      </c>
      <c r="H23" s="113">
        <f>[8]OTCHET!H22+[8]OTCHET!H28+[8]OTCHET!H33+[8]OTCHET!H39+[8]OTCHET!H47+[8]OTCHET!H52+[8]OTCHET!H58+[8]OTCHET!H61+[8]OTCHET!H64+[8]OTCHET!H65+[8]OTCHET!H72+[8]OTCHET!H73</f>
        <v>0</v>
      </c>
      <c r="I23" s="113">
        <f>[8]OTCHET!I22+[8]OTCHET!I28+[8]OTCHET!I33+[8]OTCHET!I39+[8]OTCHET!I47+[8]OTCHET!I52+[8]OTCHET!I58+[8]OTCHET!I61+[8]OTCHET!I64+[8]OTCHET!I65+[8]OTCHET!I72+[8]OTCHET!I73</f>
        <v>0</v>
      </c>
      <c r="J23" s="114">
        <f>[8]OTCHET!J22+[8]OTCHET!J28+[8]OTCHET!J33+[8]OTCHET!J39+[8]OTCHET!J47+[8]OTCHET!J52+[8]OTCHET!J58+[8]OTCHET!J61+[8]OTCHET!J64+[8]OTCHET!J65+[8]OTCHET!J72+[8]OTCHET!J73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170000</v>
      </c>
      <c r="F25" s="127">
        <f>+F26+F30+F31+F32+F33</f>
        <v>89434</v>
      </c>
      <c r="G25" s="128">
        <f t="shared" ref="G25:M25" si="2">+G26+G30+G31+G32+G33</f>
        <v>109334</v>
      </c>
      <c r="H25" s="129">
        <f>+H26+H30+H31+H32+H33</f>
        <v>0</v>
      </c>
      <c r="I25" s="129">
        <f>+I26+I30+I31+I32+I33</f>
        <v>0</v>
      </c>
      <c r="J25" s="130">
        <f>+J26+J30+J31+J32+J33</f>
        <v>-19900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[8]OTCHET!E74</f>
        <v>0</v>
      </c>
      <c r="F26" s="133">
        <f t="shared" si="1"/>
        <v>0</v>
      </c>
      <c r="G26" s="134">
        <f>[8]OTCHET!G74</f>
        <v>0</v>
      </c>
      <c r="H26" s="135">
        <f>[8]OTCHET!H74</f>
        <v>0</v>
      </c>
      <c r="I26" s="135">
        <f>[8]OTCHET!I74</f>
        <v>0</v>
      </c>
      <c r="J26" s="136">
        <f>[8]OTCHET!J74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[8]OTCHET!E75</f>
        <v>0</v>
      </c>
      <c r="F27" s="140">
        <f t="shared" si="1"/>
        <v>0</v>
      </c>
      <c r="G27" s="141">
        <f>[8]OTCHET!G75</f>
        <v>0</v>
      </c>
      <c r="H27" s="142">
        <f>[8]OTCHET!H75</f>
        <v>0</v>
      </c>
      <c r="I27" s="142">
        <f>[8]OTCHET!I75</f>
        <v>0</v>
      </c>
      <c r="J27" s="143">
        <f>[8]OTCHET!J75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[8]OTCHET!E77</f>
        <v>0</v>
      </c>
      <c r="F28" s="148">
        <f t="shared" si="1"/>
        <v>0</v>
      </c>
      <c r="G28" s="149">
        <f>[8]OTCHET!G77</f>
        <v>0</v>
      </c>
      <c r="H28" s="150">
        <f>[8]OTCHET!H77</f>
        <v>0</v>
      </c>
      <c r="I28" s="150">
        <f>[8]OTCHET!I77</f>
        <v>0</v>
      </c>
      <c r="J28" s="151">
        <f>[8]OTCHET!J77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+[8]OTCHET!E78+[8]OTCHET!E79</f>
        <v>0</v>
      </c>
      <c r="F29" s="156">
        <f t="shared" si="1"/>
        <v>0</v>
      </c>
      <c r="G29" s="157">
        <f>+[8]OTCHET!G78+[8]OTCHET!G79</f>
        <v>0</v>
      </c>
      <c r="H29" s="158">
        <f>+[8]OTCHET!H78+[8]OTCHET!H79</f>
        <v>0</v>
      </c>
      <c r="I29" s="158">
        <f>+[8]OTCHET!I78+[8]OTCHET!I79</f>
        <v>0</v>
      </c>
      <c r="J29" s="159">
        <f>+[8]OTCHET!J78+[8]OTCHET!J79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[8]OTCHET!E90+[8]OTCHET!E93+[8]OTCHET!E94</f>
        <v>140000</v>
      </c>
      <c r="F30" s="162">
        <f t="shared" si="1"/>
        <v>100166</v>
      </c>
      <c r="G30" s="163">
        <f>[8]OTCHET!G90+[8]OTCHET!G93+[8]OTCHET!G94</f>
        <v>100166</v>
      </c>
      <c r="H30" s="164">
        <f>[8]OTCHET!H90+[8]OTCHET!H93+[8]OTCHET!H94</f>
        <v>0</v>
      </c>
      <c r="I30" s="164">
        <f>[8]OTCHET!I90+[8]OTCHET!I93+[8]OTCHET!I94</f>
        <v>0</v>
      </c>
      <c r="J30" s="165">
        <f>[8]OTCHET!J90+[8]OTCHET!J93+[8]OTCHET!J94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[8]OTCHET!E106</f>
        <v>30000</v>
      </c>
      <c r="F31" s="168">
        <f t="shared" si="1"/>
        <v>9181</v>
      </c>
      <c r="G31" s="169">
        <f>[8]OTCHET!G106</f>
        <v>7346</v>
      </c>
      <c r="H31" s="170">
        <f>[8]OTCHET!H106</f>
        <v>0</v>
      </c>
      <c r="I31" s="170">
        <f>[8]OTCHET!I106</f>
        <v>0</v>
      </c>
      <c r="J31" s="171">
        <f>[8]OTCHET!J106</f>
        <v>1835</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[8]OTCHET!E110+[8]OTCHET!E119+[8]OTCHET!E135+[8]OTCHET!E136</f>
        <v>0</v>
      </c>
      <c r="F32" s="168">
        <f t="shared" si="1"/>
        <v>-19913</v>
      </c>
      <c r="G32" s="169">
        <f>[8]OTCHET!G110+[8]OTCHET!G119+[8]OTCHET!G135+[8]OTCHET!G136</f>
        <v>1822</v>
      </c>
      <c r="H32" s="170">
        <f>[8]OTCHET!H110+[8]OTCHET!H119+[8]OTCHET!H135+[8]OTCHET!H136</f>
        <v>0</v>
      </c>
      <c r="I32" s="170">
        <f>[8]OTCHET!I110+[8]OTCHET!I119+[8]OTCHET!I135+[8]OTCHET!I136</f>
        <v>0</v>
      </c>
      <c r="J32" s="171">
        <f>[8]OTCHET!J110+[8]OTCHET!J119+[8]OTCHET!J135+[8]OTCHET!J136</f>
        <v>-21735</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[8]OTCHET!E123</f>
        <v>0</v>
      </c>
      <c r="F33" s="120">
        <f t="shared" si="1"/>
        <v>0</v>
      </c>
      <c r="G33" s="121">
        <f>[8]OTCHET!G123</f>
        <v>0</v>
      </c>
      <c r="H33" s="122">
        <f>[8]OTCHET!H123</f>
        <v>0</v>
      </c>
      <c r="I33" s="122">
        <f>[8]OTCHET!I123</f>
        <v>0</v>
      </c>
      <c r="J33" s="123">
        <f>[8]OTCHET!J123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+[8]OTCHET!E137</f>
        <v>0</v>
      </c>
      <c r="F36" s="191">
        <f t="shared" si="1"/>
        <v>0</v>
      </c>
      <c r="G36" s="192">
        <f>+[8]OTCHET!G137</f>
        <v>0</v>
      </c>
      <c r="H36" s="193">
        <f>+[8]OTCHET!H137</f>
        <v>0</v>
      </c>
      <c r="I36" s="193">
        <f>+[8]OTCHET!I137</f>
        <v>0</v>
      </c>
      <c r="J36" s="194">
        <f>+[8]OTCHET!J137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[8]OTCHET!E140+[8]OTCHET!E149+[8]OTCHET!E158</f>
        <v>0</v>
      </c>
      <c r="F37" s="199">
        <f t="shared" si="1"/>
        <v>0</v>
      </c>
      <c r="G37" s="200">
        <f>[8]OTCHET!G140+[8]OTCHET!G149+[8]OTCHET!G158</f>
        <v>0</v>
      </c>
      <c r="H37" s="201">
        <f>[8]OTCHET!H140+[8]OTCHET!H149+[8]OTCHET!H158</f>
        <v>0</v>
      </c>
      <c r="I37" s="201">
        <f>[8]OTCHET!I140+[8]OTCHET!I149+[8]OTCHET!I158</f>
        <v>0</v>
      </c>
      <c r="J37" s="202">
        <f>[8]OTCHET!J140+[8]OTCHET!J149+[8]OTCHET!J158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1200157</v>
      </c>
      <c r="F38" s="209">
        <f t="shared" si="3"/>
        <v>833481</v>
      </c>
      <c r="G38" s="210">
        <f t="shared" si="3"/>
        <v>608382</v>
      </c>
      <c r="H38" s="211">
        <f t="shared" si="3"/>
        <v>0</v>
      </c>
      <c r="I38" s="211">
        <f t="shared" si="3"/>
        <v>2344</v>
      </c>
      <c r="J38" s="212">
        <f t="shared" si="3"/>
        <v>222755</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1035932</v>
      </c>
      <c r="F39" s="221">
        <f t="shared" si="4"/>
        <v>727038</v>
      </c>
      <c r="G39" s="222">
        <f t="shared" si="4"/>
        <v>504283</v>
      </c>
      <c r="H39" s="223">
        <f t="shared" si="4"/>
        <v>0</v>
      </c>
      <c r="I39" s="223">
        <f t="shared" si="4"/>
        <v>0</v>
      </c>
      <c r="J39" s="224">
        <f t="shared" si="4"/>
        <v>222755</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[8]OTCHET!E187</f>
        <v>734926</v>
      </c>
      <c r="F40" s="229">
        <f t="shared" si="1"/>
        <v>507633</v>
      </c>
      <c r="G40" s="230">
        <f>[8]OTCHET!G187</f>
        <v>449429</v>
      </c>
      <c r="H40" s="231">
        <f>[8]OTCHET!H187</f>
        <v>0</v>
      </c>
      <c r="I40" s="231">
        <f>[8]OTCHET!I187</f>
        <v>0</v>
      </c>
      <c r="J40" s="232">
        <f>[8]OTCHET!J187</f>
        <v>58204</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[8]OTCHET!E190</f>
        <v>66242</v>
      </c>
      <c r="F41" s="237">
        <f t="shared" si="1"/>
        <v>58415</v>
      </c>
      <c r="G41" s="238">
        <f>[8]OTCHET!G190</f>
        <v>54854</v>
      </c>
      <c r="H41" s="239">
        <f>[8]OTCHET!H190</f>
        <v>0</v>
      </c>
      <c r="I41" s="239">
        <f>[8]OTCHET!I190</f>
        <v>0</v>
      </c>
      <c r="J41" s="240">
        <f>[8]OTCHET!J190</f>
        <v>3561</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+[8]OTCHET!E196+[8]OTCHET!E204</f>
        <v>234764</v>
      </c>
      <c r="F42" s="244">
        <f t="shared" si="1"/>
        <v>160990</v>
      </c>
      <c r="G42" s="245">
        <f>+[8]OTCHET!G196+[8]OTCHET!G204</f>
        <v>0</v>
      </c>
      <c r="H42" s="246">
        <f>+[8]OTCHET!H196+[8]OTCHET!H204</f>
        <v>0</v>
      </c>
      <c r="I42" s="246">
        <f>+[8]OTCHET!I196+[8]OTCHET!I204</f>
        <v>0</v>
      </c>
      <c r="J42" s="247">
        <f>+[8]OTCHET!J196+[8]OTCHET!J204</f>
        <v>160990</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+[8]OTCHET!E205+[8]OTCHET!E223+[8]OTCHET!E271</f>
        <v>159625</v>
      </c>
      <c r="F43" s="250">
        <f t="shared" si="1"/>
        <v>102175</v>
      </c>
      <c r="G43" s="251">
        <f>+[8]OTCHET!G205+[8]OTCHET!G223+[8]OTCHET!G271</f>
        <v>99831</v>
      </c>
      <c r="H43" s="252">
        <f>+[8]OTCHET!H205+[8]OTCHET!H223+[8]OTCHET!H271</f>
        <v>0</v>
      </c>
      <c r="I43" s="252">
        <f>+[8]OTCHET!I205+[8]OTCHET!I223+[8]OTCHET!I271</f>
        <v>2344</v>
      </c>
      <c r="J43" s="253">
        <f>+[8]OTCHET!J205+[8]OTCHET!J223+[8]OTCHET!J271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+[8]OTCHET!E227+[8]OTCHET!E233+[8]OTCHET!E236+[8]OTCHET!E237+[8]OTCHET!E238+[8]OTCHET!E239+[8]OTCHET!E240</f>
        <v>0</v>
      </c>
      <c r="F44" s="120">
        <f t="shared" si="1"/>
        <v>0</v>
      </c>
      <c r="G44" s="121">
        <f>+[8]OTCHET!G227+[8]OTCHET!G233+[8]OTCHET!G236+[8]OTCHET!G237+[8]OTCHET!G238+[8]OTCHET!G239+[8]OTCHET!G240</f>
        <v>0</v>
      </c>
      <c r="H44" s="122">
        <f>+[8]OTCHET!H227+[8]OTCHET!H233+[8]OTCHET!H236+[8]OTCHET!H237+[8]OTCHET!H238+[8]OTCHET!H239+[8]OTCHET!H240</f>
        <v>0</v>
      </c>
      <c r="I44" s="122">
        <f>+[8]OTCHET!I227+[8]OTCHET!I233+[8]OTCHET!I236+[8]OTCHET!I237+[8]OTCHET!I238+[8]OTCHET!I239+[8]OTCHET!I240</f>
        <v>0</v>
      </c>
      <c r="J44" s="123">
        <f>+[8]OTCHET!J227+[8]OTCHET!J233+[8]OTCHET!J236+[8]OTCHET!J237+[8]OTCHET!J238+[8]OTCHET!J239+[8]OTCHET!J240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+[8]OTCHET!E236+[8]OTCHET!E237+[8]OTCHET!E238+[8]OTCHET!E239+[8]OTCHET!E243+[8]OTCHET!E244+[8]OTCHET!E248</f>
        <v>0</v>
      </c>
      <c r="F45" s="256">
        <f t="shared" si="1"/>
        <v>0</v>
      </c>
      <c r="G45" s="257">
        <f>+[8]OTCHET!G236+[8]OTCHET!G237+[8]OTCHET!G238+[8]OTCHET!G239+[8]OTCHET!G243+[8]OTCHET!G244+[8]OTCHET!G248</f>
        <v>0</v>
      </c>
      <c r="H45" s="258">
        <f>+[8]OTCHET!H236+[8]OTCHET!H237+[8]OTCHET!H238+[8]OTCHET!H239+[8]OTCHET!H243+[8]OTCHET!H244+[8]OTCHET!H248</f>
        <v>0</v>
      </c>
      <c r="I45" s="259">
        <f>+[8]OTCHET!I236+[8]OTCHET!I237+[8]OTCHET!I238+[8]OTCHET!I239+[8]OTCHET!I243+[8]OTCHET!I244+[8]OTCHET!I248</f>
        <v>0</v>
      </c>
      <c r="J45" s="260">
        <f>+[8]OTCHET!J236+[8]OTCHET!J237+[8]OTCHET!J238+[8]OTCHET!J239+[8]OTCHET!J243+[8]OTCHET!J244+[8]OTCHET!J248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+[8]OTCHET!E255+[8]OTCHET!E256+[8]OTCHET!E257+[8]OTCHET!E258</f>
        <v>0</v>
      </c>
      <c r="F46" s="250">
        <f t="shared" si="1"/>
        <v>0</v>
      </c>
      <c r="G46" s="251">
        <f>+[8]OTCHET!G255+[8]OTCHET!G256+[8]OTCHET!G257+[8]OTCHET!G258</f>
        <v>0</v>
      </c>
      <c r="H46" s="252">
        <f>+[8]OTCHET!H255+[8]OTCHET!H256+[8]OTCHET!H257+[8]OTCHET!H258</f>
        <v>0</v>
      </c>
      <c r="I46" s="252">
        <f>+[8]OTCHET!I255+[8]OTCHET!I256+[8]OTCHET!I257+[8]OTCHET!I258</f>
        <v>0</v>
      </c>
      <c r="J46" s="253">
        <f>+[8]OTCHET!J255+[8]OTCHET!J256+[8]OTCHET!J257+[8]OTCHET!J258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+[8]OTCHET!E256</f>
        <v>0</v>
      </c>
      <c r="F47" s="256">
        <f t="shared" si="1"/>
        <v>0</v>
      </c>
      <c r="G47" s="257">
        <f>+[8]OTCHET!G256</f>
        <v>0</v>
      </c>
      <c r="H47" s="258">
        <f>+[8]OTCHET!H256</f>
        <v>0</v>
      </c>
      <c r="I47" s="259">
        <f>+[8]OTCHET!I256</f>
        <v>0</v>
      </c>
      <c r="J47" s="260">
        <f>+[8]OTCHET!J256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+[8]OTCHET!E265+[8]OTCHET!E269+[8]OTCHET!E270</f>
        <v>0</v>
      </c>
      <c r="F48" s="168">
        <f t="shared" si="1"/>
        <v>0</v>
      </c>
      <c r="G48" s="163">
        <f>+[8]OTCHET!G265+[8]OTCHET!G269+[8]OTCHET!G270</f>
        <v>0</v>
      </c>
      <c r="H48" s="164">
        <f>+[8]OTCHET!H265+[8]OTCHET!H269+[8]OTCHET!H270</f>
        <v>0</v>
      </c>
      <c r="I48" s="164">
        <f>+[8]OTCHET!I265+[8]OTCHET!I269+[8]OTCHET!I270</f>
        <v>0</v>
      </c>
      <c r="J48" s="165">
        <f>+[8]OTCHET!J265+[8]OTCHET!J269+[8]OTCHET!J270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[8]OTCHET!E275+[8]OTCHET!E276+[8]OTCHET!E284+[8]OTCHET!E287</f>
        <v>4600</v>
      </c>
      <c r="F49" s="168">
        <f t="shared" si="1"/>
        <v>4268</v>
      </c>
      <c r="G49" s="169">
        <f>[8]OTCHET!G275+[8]OTCHET!G276+[8]OTCHET!G284+[8]OTCHET!G287</f>
        <v>4268</v>
      </c>
      <c r="H49" s="170">
        <f>[8]OTCHET!H275+[8]OTCHET!H276+[8]OTCHET!H284+[8]OTCHET!H287</f>
        <v>0</v>
      </c>
      <c r="I49" s="170">
        <f>[8]OTCHET!I275+[8]OTCHET!I276+[8]OTCHET!I284+[8]OTCHET!I287</f>
        <v>0</v>
      </c>
      <c r="J49" s="171">
        <f>[8]OTCHET!J275+[8]OTCHET!J276+[8]OTCHET!J284+[8]OTCHET!J287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+[8]OTCHET!E288</f>
        <v>0</v>
      </c>
      <c r="F50" s="168">
        <f t="shared" si="1"/>
        <v>0</v>
      </c>
      <c r="G50" s="169">
        <f>+[8]OTCHET!G288</f>
        <v>0</v>
      </c>
      <c r="H50" s="170">
        <f>+[8]OTCHET!H288</f>
        <v>0</v>
      </c>
      <c r="I50" s="170">
        <f>+[8]OTCHET!I288</f>
        <v>0</v>
      </c>
      <c r="J50" s="171">
        <f>+[8]OTCHET!J288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+[8]OTCHET!E272</f>
        <v>0</v>
      </c>
      <c r="F51" s="120">
        <f>+G51+H51+I51+J51</f>
        <v>0</v>
      </c>
      <c r="G51" s="121">
        <f>+[8]OTCHET!G272</f>
        <v>0</v>
      </c>
      <c r="H51" s="122">
        <f>+[8]OTCHET!H272</f>
        <v>0</v>
      </c>
      <c r="I51" s="122">
        <f>+[8]OTCHET!I272</f>
        <v>0</v>
      </c>
      <c r="J51" s="123">
        <f>+[8]OTCHET!J272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+[8]OTCHET!E293</f>
        <v>0</v>
      </c>
      <c r="F52" s="120">
        <f t="shared" si="1"/>
        <v>0</v>
      </c>
      <c r="G52" s="121">
        <f>+[8]OTCHET!G293</f>
        <v>0</v>
      </c>
      <c r="H52" s="122">
        <f>+[8]OTCHET!H293</f>
        <v>0</v>
      </c>
      <c r="I52" s="122">
        <f>+[8]OTCHET!I293</f>
        <v>0</v>
      </c>
      <c r="J52" s="123">
        <f>+[8]OTCHET!J293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[8]OTCHET!E294</f>
        <v>0</v>
      </c>
      <c r="F53" s="267">
        <f t="shared" si="1"/>
        <v>0</v>
      </c>
      <c r="G53" s="268">
        <f>[8]OTCHET!G294</f>
        <v>0</v>
      </c>
      <c r="H53" s="269">
        <f>[8]OTCHET!H294</f>
        <v>0</v>
      </c>
      <c r="I53" s="269">
        <f>[8]OTCHET!I294</f>
        <v>0</v>
      </c>
      <c r="J53" s="270">
        <f>[8]OTCHET!J294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[8]OTCHET!E296</f>
        <v>0</v>
      </c>
      <c r="F54" s="275">
        <f t="shared" si="1"/>
        <v>0</v>
      </c>
      <c r="G54" s="276">
        <f>[8]OTCHET!G296</f>
        <v>0</v>
      </c>
      <c r="H54" s="277">
        <f>[8]OTCHET!H296</f>
        <v>0</v>
      </c>
      <c r="I54" s="277">
        <f>[8]OTCHET!I296</f>
        <v>0</v>
      </c>
      <c r="J54" s="278">
        <f>[8]OTCHET!J296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+[8]OTCHET!E297</f>
        <v>0</v>
      </c>
      <c r="F55" s="284">
        <f t="shared" si="1"/>
        <v>0</v>
      </c>
      <c r="G55" s="285">
        <f>+[8]OTCHET!G297</f>
        <v>0</v>
      </c>
      <c r="H55" s="286">
        <f>+[8]OTCHET!H297</f>
        <v>0</v>
      </c>
      <c r="I55" s="286">
        <f>+[8]OTCHET!I297</f>
        <v>0</v>
      </c>
      <c r="J55" s="287">
        <f>+[8]OTCHET!J297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1030157</v>
      </c>
      <c r="F56" s="293">
        <f t="shared" si="5"/>
        <v>732899</v>
      </c>
      <c r="G56" s="294">
        <f t="shared" si="5"/>
        <v>510144</v>
      </c>
      <c r="H56" s="295">
        <f t="shared" si="5"/>
        <v>0</v>
      </c>
      <c r="I56" s="296">
        <f t="shared" si="5"/>
        <v>0</v>
      </c>
      <c r="J56" s="297">
        <f t="shared" si="5"/>
        <v>222755</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+[8]OTCHET!E361+[8]OTCHET!E375+[8]OTCHET!E388</f>
        <v>0</v>
      </c>
      <c r="F57" s="299">
        <f t="shared" si="1"/>
        <v>0</v>
      </c>
      <c r="G57" s="300">
        <f>+[8]OTCHET!G361+[8]OTCHET!G375+[8]OTCHET!G388</f>
        <v>0</v>
      </c>
      <c r="H57" s="301">
        <f>+[8]OTCHET!H361+[8]OTCHET!H375+[8]OTCHET!H388</f>
        <v>0</v>
      </c>
      <c r="I57" s="301">
        <f>+[8]OTCHET!I361+[8]OTCHET!I375+[8]OTCHET!I388</f>
        <v>0</v>
      </c>
      <c r="J57" s="302">
        <f>+[8]OTCHET!J361+[8]OTCHET!J375+[8]OTCHET!J388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+[8]OTCHET!E383+[8]OTCHET!E391+[8]OTCHET!E396+[8]OTCHET!E399+[8]OTCHET!E402+[8]OTCHET!E405+[8]OTCHET!E406+[8]OTCHET!E409+[8]OTCHET!E422+[8]OTCHET!E423+[8]OTCHET!E424+[8]OTCHET!E425+[8]OTCHET!E426</f>
        <v>1030157</v>
      </c>
      <c r="F58" s="304">
        <f t="shared" si="1"/>
        <v>510144</v>
      </c>
      <c r="G58" s="305">
        <f>+[8]OTCHET!G383+[8]OTCHET!G391+[8]OTCHET!G396+[8]OTCHET!G399+[8]OTCHET!G402+[8]OTCHET!G405+[8]OTCHET!G406+[8]OTCHET!G409+[8]OTCHET!G422+[8]OTCHET!G423+[8]OTCHET!G424+[8]OTCHET!G425+[8]OTCHET!G426</f>
        <v>510144</v>
      </c>
      <c r="H58" s="306">
        <f>+[8]OTCHET!H383+[8]OTCHET!H391+[8]OTCHET!H396+[8]OTCHET!H399+[8]OTCHET!H402+[8]OTCHET!H405+[8]OTCHET!H406+[8]OTCHET!H409+[8]OTCHET!H422+[8]OTCHET!H423+[8]OTCHET!H424+[8]OTCHET!H425+[8]OTCHET!H426</f>
        <v>0</v>
      </c>
      <c r="I58" s="306">
        <f>+[8]OTCHET!I383+[8]OTCHET!I391+[8]OTCHET!I396+[8]OTCHET!I399+[8]OTCHET!I402+[8]OTCHET!I405+[8]OTCHET!I406+[8]OTCHET!I409+[8]OTCHET!I422+[8]OTCHET!I423+[8]OTCHET!I424+[8]OTCHET!I425+[8]OTCHET!I426</f>
        <v>0</v>
      </c>
      <c r="J58" s="307">
        <f>+[8]OTCHET!J383+[8]OTCHET!J391+[8]OTCHET!J396+[8]OTCHET!J399+[8]OTCHET!J402+[8]OTCHET!J405+[8]OTCHET!J406+[8]OTCHET!J409+[8]OTCHET!J422+[8]OTCHET!J423+[8]OTCHET!J424+[8]OTCHET!J425+[8]OTCHET!J426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+[8]OTCHET!E422+[8]OTCHET!E423+[8]OTCHET!E424+[8]OTCHET!E425+[8]OTCHET!E426</f>
        <v>0</v>
      </c>
      <c r="F59" s="309">
        <f t="shared" si="1"/>
        <v>0</v>
      </c>
      <c r="G59" s="310">
        <f>+[8]OTCHET!G422+[8]OTCHET!G423+[8]OTCHET!G424+[8]OTCHET!G425+[8]OTCHET!G426</f>
        <v>0</v>
      </c>
      <c r="H59" s="311">
        <f>+[8]OTCHET!H422+[8]OTCHET!H423+[8]OTCHET!H424+[8]OTCHET!H425+[8]OTCHET!H426</f>
        <v>0</v>
      </c>
      <c r="I59" s="311">
        <f>+[8]OTCHET!I422+[8]OTCHET!I423+[8]OTCHET!I424+[8]OTCHET!I425+[8]OTCHET!I426</f>
        <v>0</v>
      </c>
      <c r="J59" s="312">
        <f>+[8]OTCHET!J422+[8]OTCHET!J423+[8]OTCHET!J424+[8]OTCHET!J425+[8]OTCHET!J426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[8]OTCHET!E405</f>
        <v>0</v>
      </c>
      <c r="F60" s="316">
        <f t="shared" si="1"/>
        <v>0</v>
      </c>
      <c r="G60" s="317">
        <f>[8]OTCHET!G405</f>
        <v>0</v>
      </c>
      <c r="H60" s="318">
        <f>[8]OTCHET!H405</f>
        <v>0</v>
      </c>
      <c r="I60" s="318">
        <f>[8]OTCHET!I405</f>
        <v>0</v>
      </c>
      <c r="J60" s="319">
        <f>[8]OTCHET!J405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[8]OTCHET!E412</f>
        <v>0</v>
      </c>
      <c r="F62" s="199">
        <f t="shared" si="1"/>
        <v>222755</v>
      </c>
      <c r="G62" s="200">
        <f>[8]OTCHET!G412</f>
        <v>0</v>
      </c>
      <c r="H62" s="201">
        <f>[8]OTCHET!H412</f>
        <v>0</v>
      </c>
      <c r="I62" s="201">
        <f>[8]OTCHET!I412</f>
        <v>0</v>
      </c>
      <c r="J62" s="202">
        <f>[8]OTCHET!J412</f>
        <v>222755</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+[8]OTCHET!E249</f>
        <v>0</v>
      </c>
      <c r="F63" s="328">
        <f t="shared" si="1"/>
        <v>0</v>
      </c>
      <c r="G63" s="329">
        <f>+[8]OTCHET!G249</f>
        <v>0</v>
      </c>
      <c r="H63" s="330">
        <f>+[8]OTCHET!H249</f>
        <v>0</v>
      </c>
      <c r="I63" s="330">
        <f>+[8]OTCHET!I249</f>
        <v>0</v>
      </c>
      <c r="J63" s="331">
        <f>+[8]OTCHET!J249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-11148</v>
      </c>
      <c r="G64" s="337">
        <f t="shared" si="6"/>
        <v>11096</v>
      </c>
      <c r="H64" s="338">
        <f t="shared" si="6"/>
        <v>0</v>
      </c>
      <c r="I64" s="338">
        <f t="shared" si="6"/>
        <v>-2344</v>
      </c>
      <c r="J64" s="339">
        <f t="shared" si="6"/>
        <v>-19900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11148</v>
      </c>
      <c r="G66" s="349">
        <f t="shared" ref="G66:L66" si="8">SUM(+G68+G76+G77+G84+G85+G86+G89+G90+G91+G92+G93+G94+G95)</f>
        <v>-11096</v>
      </c>
      <c r="H66" s="350">
        <f>SUM(+H68+H76+H77+H84+H85+H86+H89+H90+H91+H92+H93+H94+H95)</f>
        <v>0</v>
      </c>
      <c r="I66" s="350">
        <f>SUM(+I68+I76+I77+I84+I85+I86+I89+I90+I91+I92+I93+I94+I95)</f>
        <v>2344</v>
      </c>
      <c r="J66" s="351">
        <f>SUM(+J68+J76+J77+J84+J85+J86+J89+J90+J91+J92+J93+J94+J95)</f>
        <v>19900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+[8]OTCHET!E482+[8]OTCHET!E483+[8]OTCHET!E486+[8]OTCHET!E487+[8]OTCHET!E490+[8]OTCHET!E491+[8]OTCHET!E495</f>
        <v>0</v>
      </c>
      <c r="F69" s="367">
        <f t="shared" si="1"/>
        <v>0</v>
      </c>
      <c r="G69" s="368">
        <f>+[8]OTCHET!G482+[8]OTCHET!G483+[8]OTCHET!G486+[8]OTCHET!G487+[8]OTCHET!G490+[8]OTCHET!G491+[8]OTCHET!G495</f>
        <v>0</v>
      </c>
      <c r="H69" s="369">
        <f>+[8]OTCHET!H482+[8]OTCHET!H483+[8]OTCHET!H486+[8]OTCHET!H487+[8]OTCHET!H490+[8]OTCHET!H491+[8]OTCHET!H495</f>
        <v>0</v>
      </c>
      <c r="I69" s="369">
        <f>+[8]OTCHET!I482+[8]OTCHET!I483+[8]OTCHET!I486+[8]OTCHET!I487+[8]OTCHET!I490+[8]OTCHET!I491+[8]OTCHET!I495</f>
        <v>0</v>
      </c>
      <c r="J69" s="370">
        <f>+[8]OTCHET!J482+[8]OTCHET!J483+[8]OTCHET!J486+[8]OTCHET!J487+[8]OTCHET!J490+[8]OTCHET!J491+[8]OTCHET!J495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+[8]OTCHET!E484+[8]OTCHET!E485+[8]OTCHET!E488+[8]OTCHET!E489+[8]OTCHET!E492+[8]OTCHET!E493+[8]OTCHET!E494+[8]OTCHET!E496</f>
        <v>0</v>
      </c>
      <c r="F70" s="375">
        <f t="shared" si="1"/>
        <v>0</v>
      </c>
      <c r="G70" s="376">
        <f>+[8]OTCHET!G484+[8]OTCHET!G485+[8]OTCHET!G488+[8]OTCHET!G489+[8]OTCHET!G492+[8]OTCHET!G493+[8]OTCHET!G494+[8]OTCHET!G496</f>
        <v>0</v>
      </c>
      <c r="H70" s="377">
        <f>+[8]OTCHET!H484+[8]OTCHET!H485+[8]OTCHET!H488+[8]OTCHET!H489+[8]OTCHET!H492+[8]OTCHET!H493+[8]OTCHET!H494+[8]OTCHET!H496</f>
        <v>0</v>
      </c>
      <c r="I70" s="377">
        <f>+[8]OTCHET!I484+[8]OTCHET!I485+[8]OTCHET!I488+[8]OTCHET!I489+[8]OTCHET!I492+[8]OTCHET!I493+[8]OTCHET!I494+[8]OTCHET!I496</f>
        <v>0</v>
      </c>
      <c r="J70" s="378">
        <f>+[8]OTCHET!J484+[8]OTCHET!J485+[8]OTCHET!J488+[8]OTCHET!J489+[8]OTCHET!J492+[8]OTCHET!J493+[8]OTCHET!J494+[8]OTCHET!J496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+[8]OTCHET!E497</f>
        <v>0</v>
      </c>
      <c r="F71" s="375">
        <f t="shared" si="1"/>
        <v>0</v>
      </c>
      <c r="G71" s="376">
        <f>+[8]OTCHET!G497</f>
        <v>0</v>
      </c>
      <c r="H71" s="377">
        <f>+[8]OTCHET!H497</f>
        <v>0</v>
      </c>
      <c r="I71" s="377">
        <f>+[8]OTCHET!I497</f>
        <v>0</v>
      </c>
      <c r="J71" s="378">
        <f>+[8]OTCHET!J497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+[8]OTCHET!E502</f>
        <v>0</v>
      </c>
      <c r="F72" s="375">
        <f t="shared" si="1"/>
        <v>0</v>
      </c>
      <c r="G72" s="376">
        <f>+[8]OTCHET!G502</f>
        <v>0</v>
      </c>
      <c r="H72" s="377">
        <f>+[8]OTCHET!H502</f>
        <v>0</v>
      </c>
      <c r="I72" s="377">
        <f>+[8]OTCHET!I502</f>
        <v>0</v>
      </c>
      <c r="J72" s="378">
        <f>+[8]OTCHET!J502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+[8]OTCHET!E542</f>
        <v>0</v>
      </c>
      <c r="F73" s="375">
        <f t="shared" si="1"/>
        <v>0</v>
      </c>
      <c r="G73" s="376">
        <f>+[8]OTCHET!G542</f>
        <v>0</v>
      </c>
      <c r="H73" s="377">
        <f>+[8]OTCHET!H542</f>
        <v>0</v>
      </c>
      <c r="I73" s="377">
        <f>+[8]OTCHET!I542</f>
        <v>0</v>
      </c>
      <c r="J73" s="378">
        <f>+[8]OTCHET!J542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+[8]OTCHET!E581+[8]OTCHET!E582</f>
        <v>0</v>
      </c>
      <c r="F74" s="375">
        <f t="shared" si="1"/>
        <v>0</v>
      </c>
      <c r="G74" s="376">
        <f>+[8]OTCHET!G581+[8]OTCHET!G582</f>
        <v>0</v>
      </c>
      <c r="H74" s="377">
        <f>+[8]OTCHET!H581+[8]OTCHET!H582</f>
        <v>0</v>
      </c>
      <c r="I74" s="377">
        <f>+[8]OTCHET!I581+[8]OTCHET!I582</f>
        <v>0</v>
      </c>
      <c r="J74" s="378">
        <f>+[8]OTCHET!J581+[8]OTCHET!J582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+[8]OTCHET!E583+[8]OTCHET!E584+[8]OTCHET!E585</f>
        <v>0</v>
      </c>
      <c r="F75" s="382">
        <f t="shared" si="1"/>
        <v>0</v>
      </c>
      <c r="G75" s="383">
        <f>+[8]OTCHET!G583+[8]OTCHET!G584+[8]OTCHET!G585</f>
        <v>0</v>
      </c>
      <c r="H75" s="384">
        <f>+[8]OTCHET!H583+[8]OTCHET!H584+[8]OTCHET!H585</f>
        <v>0</v>
      </c>
      <c r="I75" s="384">
        <f>+[8]OTCHET!I583+[8]OTCHET!I584+[8]OTCHET!I585</f>
        <v>0</v>
      </c>
      <c r="J75" s="385">
        <f>+[8]OTCHET!J583+[8]OTCHET!J584+[8]OTCHET!J585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[8]OTCHET!E461</f>
        <v>0</v>
      </c>
      <c r="F76" s="299">
        <f t="shared" si="1"/>
        <v>0</v>
      </c>
      <c r="G76" s="300">
        <f>[8]OTCHET!G461</f>
        <v>0</v>
      </c>
      <c r="H76" s="301">
        <f>[8]OTCHET!H461</f>
        <v>0</v>
      </c>
      <c r="I76" s="301">
        <f>[8]OTCHET!I461</f>
        <v>0</v>
      </c>
      <c r="J76" s="302">
        <f>[8]OTCHET!J461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+[8]OTCHET!E466+[8]OTCHET!E469</f>
        <v>0</v>
      </c>
      <c r="F78" s="367">
        <f t="shared" si="1"/>
        <v>0</v>
      </c>
      <c r="G78" s="368">
        <f>+[8]OTCHET!G466+[8]OTCHET!G469</f>
        <v>0</v>
      </c>
      <c r="H78" s="369">
        <f>+[8]OTCHET!H466+[8]OTCHET!H469</f>
        <v>0</v>
      </c>
      <c r="I78" s="369">
        <f>+[8]OTCHET!I466+[8]OTCHET!I469</f>
        <v>0</v>
      </c>
      <c r="J78" s="370">
        <f>+[8]OTCHET!J466+[8]OTCHET!J469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+[8]OTCHET!E467+[8]OTCHET!E470</f>
        <v>0</v>
      </c>
      <c r="F79" s="375">
        <f t="shared" si="1"/>
        <v>0</v>
      </c>
      <c r="G79" s="376">
        <f>+[8]OTCHET!G467+[8]OTCHET!G470</f>
        <v>0</v>
      </c>
      <c r="H79" s="377">
        <f>+[8]OTCHET!H467+[8]OTCHET!H470</f>
        <v>0</v>
      </c>
      <c r="I79" s="377">
        <f>+[8]OTCHET!I467+[8]OTCHET!I470</f>
        <v>0</v>
      </c>
      <c r="J79" s="378">
        <f>+[8]OTCHET!J467+[8]OTCHET!J470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[8]OTCHET!E471</f>
        <v>0</v>
      </c>
      <c r="F80" s="375">
        <f t="shared" si="1"/>
        <v>0</v>
      </c>
      <c r="G80" s="376">
        <f>[8]OTCHET!G471</f>
        <v>0</v>
      </c>
      <c r="H80" s="377">
        <f>[8]OTCHET!H471</f>
        <v>0</v>
      </c>
      <c r="I80" s="377">
        <f>[8]OTCHET!I471</f>
        <v>0</v>
      </c>
      <c r="J80" s="378">
        <f>[8]OTCHET!J471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+[8]OTCHET!E479</f>
        <v>0</v>
      </c>
      <c r="F82" s="375">
        <f t="shared" si="1"/>
        <v>0</v>
      </c>
      <c r="G82" s="376">
        <f>+[8]OTCHET!G479</f>
        <v>0</v>
      </c>
      <c r="H82" s="377">
        <f>+[8]OTCHET!H479</f>
        <v>0</v>
      </c>
      <c r="I82" s="377">
        <f>+[8]OTCHET!I479</f>
        <v>0</v>
      </c>
      <c r="J82" s="378">
        <f>+[8]OTCHET!J479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+[8]OTCHET!E480</f>
        <v>0</v>
      </c>
      <c r="F83" s="382">
        <f t="shared" si="1"/>
        <v>0</v>
      </c>
      <c r="G83" s="383">
        <f>+[8]OTCHET!G480</f>
        <v>0</v>
      </c>
      <c r="H83" s="384">
        <f>+[8]OTCHET!H480</f>
        <v>0</v>
      </c>
      <c r="I83" s="384">
        <f>+[8]OTCHET!I480</f>
        <v>0</v>
      </c>
      <c r="J83" s="385">
        <f>+[8]OTCHET!J480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[8]OTCHET!E535</f>
        <v>0</v>
      </c>
      <c r="F84" s="299">
        <f t="shared" si="1"/>
        <v>0</v>
      </c>
      <c r="G84" s="300">
        <f>[8]OTCHET!G535</f>
        <v>0</v>
      </c>
      <c r="H84" s="301">
        <f>[8]OTCHET!H535</f>
        <v>0</v>
      </c>
      <c r="I84" s="301">
        <f>[8]OTCHET!I535</f>
        <v>0</v>
      </c>
      <c r="J84" s="302">
        <f>[8]OTCHET!J535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[8]OTCHET!E536</f>
        <v>0</v>
      </c>
      <c r="F85" s="304">
        <f t="shared" si="1"/>
        <v>0</v>
      </c>
      <c r="G85" s="305">
        <f>[8]OTCHET!G536</f>
        <v>0</v>
      </c>
      <c r="H85" s="306">
        <f>[8]OTCHET!H536</f>
        <v>0</v>
      </c>
      <c r="I85" s="306">
        <f>[8]OTCHET!I536</f>
        <v>0</v>
      </c>
      <c r="J85" s="307">
        <f>[8]OTCHET!J536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11604</v>
      </c>
      <c r="G86" s="310">
        <f t="shared" ref="G86:M86" si="11">+G87+G88</f>
        <v>-8296</v>
      </c>
      <c r="H86" s="311">
        <f>+H87+H88</f>
        <v>0</v>
      </c>
      <c r="I86" s="311">
        <f>+I87+I88</f>
        <v>0</v>
      </c>
      <c r="J86" s="312">
        <f>+J87+J88</f>
        <v>19900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+[8]OTCHET!E503+[8]OTCHET!E512+[8]OTCHET!E516+[8]OTCHET!E543</f>
        <v>0</v>
      </c>
      <c r="F87" s="367">
        <f t="shared" si="1"/>
        <v>0</v>
      </c>
      <c r="G87" s="368">
        <f>+[8]OTCHET!G503+[8]OTCHET!G512+[8]OTCHET!G516+[8]OTCHET!G543</f>
        <v>0</v>
      </c>
      <c r="H87" s="369">
        <f>+[8]OTCHET!H503+[8]OTCHET!H512+[8]OTCHET!H516+[8]OTCHET!H543</f>
        <v>0</v>
      </c>
      <c r="I87" s="369">
        <f>+[8]OTCHET!I503+[8]OTCHET!I512+[8]OTCHET!I516+[8]OTCHET!I543</f>
        <v>0</v>
      </c>
      <c r="J87" s="370">
        <f>+[8]OTCHET!J503+[8]OTCHET!J512+[8]OTCHET!J516+[8]OTCHET!J543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+[8]OTCHET!E521+[8]OTCHET!E524+[8]OTCHET!E544</f>
        <v>0</v>
      </c>
      <c r="F88" s="382">
        <f t="shared" si="1"/>
        <v>11604</v>
      </c>
      <c r="G88" s="383">
        <f>+[8]OTCHET!G521+[8]OTCHET!G524+[8]OTCHET!G544</f>
        <v>-8296</v>
      </c>
      <c r="H88" s="384">
        <f>+[8]OTCHET!H521+[8]OTCHET!H524+[8]OTCHET!H544</f>
        <v>0</v>
      </c>
      <c r="I88" s="384">
        <f>+[8]OTCHET!I521+[8]OTCHET!I524+[8]OTCHET!I544</f>
        <v>0</v>
      </c>
      <c r="J88" s="385">
        <f>+[8]OTCHET!J521+[8]OTCHET!J524+[8]OTCHET!J544</f>
        <v>19900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[8]OTCHET!E531</f>
        <v>0</v>
      </c>
      <c r="F89" s="299">
        <f t="shared" ref="F89:F96" si="12">+G89+H89+I89+J89</f>
        <v>0</v>
      </c>
      <c r="G89" s="300">
        <f>[8]OTCHET!G531</f>
        <v>0</v>
      </c>
      <c r="H89" s="301">
        <f>[8]OTCHET!H531</f>
        <v>0</v>
      </c>
      <c r="I89" s="301">
        <f>[8]OTCHET!I531</f>
        <v>0</v>
      </c>
      <c r="J89" s="302">
        <f>[8]OTCHET!J531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+[8]OTCHET!E567+[8]OTCHET!E568+[8]OTCHET!E569+[8]OTCHET!E570+[8]OTCHET!E571+[8]OTCHET!E572</f>
        <v>0</v>
      </c>
      <c r="F90" s="304">
        <f t="shared" si="12"/>
        <v>0</v>
      </c>
      <c r="G90" s="305">
        <f>+[8]OTCHET!G567+[8]OTCHET!G568+[8]OTCHET!G569+[8]OTCHET!G570+[8]OTCHET!G571+[8]OTCHET!G572</f>
        <v>0</v>
      </c>
      <c r="H90" s="306">
        <f>+[8]OTCHET!H567+[8]OTCHET!H568+[8]OTCHET!H569+[8]OTCHET!H570+[8]OTCHET!H571+[8]OTCHET!H572</f>
        <v>0</v>
      </c>
      <c r="I90" s="306">
        <f>+[8]OTCHET!I567+[8]OTCHET!I568+[8]OTCHET!I569+[8]OTCHET!I570+[8]OTCHET!I571+[8]OTCHET!I572</f>
        <v>0</v>
      </c>
      <c r="J90" s="307">
        <f>+[8]OTCHET!J567+[8]OTCHET!J568+[8]OTCHET!J569+[8]OTCHET!J570+[8]OTCHET!J571+[8]OTCHET!J572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+[8]OTCHET!E573+[8]OTCHET!E574+[8]OTCHET!E575+[8]OTCHET!E576+[8]OTCHET!E577+[8]OTCHET!E578+[8]OTCHET!E579</f>
        <v>0</v>
      </c>
      <c r="F91" s="168">
        <f t="shared" si="12"/>
        <v>-456</v>
      </c>
      <c r="G91" s="169">
        <f>+[8]OTCHET!G573+[8]OTCHET!G574+[8]OTCHET!G575+[8]OTCHET!G576+[8]OTCHET!G577+[8]OTCHET!G578+[8]OTCHET!G579</f>
        <v>0</v>
      </c>
      <c r="H91" s="170">
        <f>+[8]OTCHET!H573+[8]OTCHET!H574+[8]OTCHET!H575+[8]OTCHET!H576+[8]OTCHET!H577+[8]OTCHET!H578+[8]OTCHET!H579</f>
        <v>0</v>
      </c>
      <c r="I91" s="170">
        <f>+[8]OTCHET!I573+[8]OTCHET!I574+[8]OTCHET!I575+[8]OTCHET!I576+[8]OTCHET!I577+[8]OTCHET!I578+[8]OTCHET!I579</f>
        <v>-456</v>
      </c>
      <c r="J91" s="171">
        <f>+[8]OTCHET!J573+[8]OTCHET!J574+[8]OTCHET!J575+[8]OTCHET!J576+[8]OTCHET!J577+[8]OTCHET!J578+[8]OTCHET!J579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+[8]OTCHET!E580</f>
        <v>0</v>
      </c>
      <c r="F92" s="168">
        <f t="shared" si="12"/>
        <v>0</v>
      </c>
      <c r="G92" s="169">
        <f>+[8]OTCHET!G580</f>
        <v>0</v>
      </c>
      <c r="H92" s="170">
        <f>+[8]OTCHET!H580</f>
        <v>0</v>
      </c>
      <c r="I92" s="170">
        <f>+[8]OTCHET!I580</f>
        <v>0</v>
      </c>
      <c r="J92" s="171">
        <f>+[8]OTCHET!J580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+[8]OTCHET!E587+[8]OTCHET!E588</f>
        <v>0</v>
      </c>
      <c r="F93" s="168">
        <f t="shared" si="12"/>
        <v>0</v>
      </c>
      <c r="G93" s="169">
        <f>+[8]OTCHET!G587+[8]OTCHET!G588</f>
        <v>0</v>
      </c>
      <c r="H93" s="170">
        <f>+[8]OTCHET!H587+[8]OTCHET!H588</f>
        <v>0</v>
      </c>
      <c r="I93" s="170">
        <f>+[8]OTCHET!I587+[8]OTCHET!I588</f>
        <v>0</v>
      </c>
      <c r="J93" s="171">
        <f>+[8]OTCHET!J587+[8]OTCHET!J588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+[8]OTCHET!E589+[8]OTCHET!E590</f>
        <v>0</v>
      </c>
      <c r="F94" s="168">
        <f t="shared" si="12"/>
        <v>0</v>
      </c>
      <c r="G94" s="169">
        <f>+[8]OTCHET!G589+[8]OTCHET!G590</f>
        <v>0</v>
      </c>
      <c r="H94" s="170">
        <f>+[8]OTCHET!H589+[8]OTCHET!H590</f>
        <v>0</v>
      </c>
      <c r="I94" s="170">
        <f>+[8]OTCHET!I589+[8]OTCHET!I590</f>
        <v>0</v>
      </c>
      <c r="J94" s="171">
        <f>+[8]OTCHET!J589+[8]OTCHET!J590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[8]OTCHET!E591</f>
        <v>0</v>
      </c>
      <c r="F95" s="120">
        <f t="shared" si="12"/>
        <v>0</v>
      </c>
      <c r="G95" s="121">
        <f>[8]OTCHET!G591</f>
        <v>-2800</v>
      </c>
      <c r="H95" s="122">
        <f>[8]OTCHET!H591</f>
        <v>0</v>
      </c>
      <c r="I95" s="122">
        <f>[8]OTCHET!I591</f>
        <v>2800</v>
      </c>
      <c r="J95" s="123">
        <f>[8]OTCHET!J591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+[8]OTCHET!E594</f>
        <v>0</v>
      </c>
      <c r="F96" s="396">
        <f t="shared" si="12"/>
        <v>0</v>
      </c>
      <c r="G96" s="397">
        <f>+[8]OTCHET!G594</f>
        <v>0</v>
      </c>
      <c r="H96" s="398">
        <f>+[8]OTCHET!H594</f>
        <v>0</v>
      </c>
      <c r="I96" s="398">
        <f>+[8]OTCHET!I594</f>
        <v>0</v>
      </c>
      <c r="J96" s="399">
        <f>+[8]OTCHET!J594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+[8]OTCHET!H605</f>
        <v>0</v>
      </c>
      <c r="C107" s="421"/>
      <c r="D107" s="421"/>
      <c r="E107" s="426"/>
      <c r="F107" s="19"/>
      <c r="G107" s="427">
        <f>+[8]OTCHET!E605</f>
        <v>0</v>
      </c>
      <c r="H107" s="427">
        <f>+[8]OTCHET!F605</f>
        <v>0</v>
      </c>
      <c r="I107" s="428"/>
      <c r="J107" s="429" t="str">
        <f>+[8]OTCHET!B605</f>
        <v>31.08.2023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04" priority="21" stopIfTrue="1" operator="notEqual">
      <formula>0</formula>
    </cfRule>
  </conditionalFormatting>
  <conditionalFormatting sqref="E105:J105">
    <cfRule type="cellIs" dxfId="103" priority="20" stopIfTrue="1" operator="notEqual">
      <formula>0</formula>
    </cfRule>
  </conditionalFormatting>
  <conditionalFormatting sqref="G107:H107 B107">
    <cfRule type="cellIs" dxfId="102" priority="19" stopIfTrue="1" operator="equal">
      <formula>0</formula>
    </cfRule>
  </conditionalFormatting>
  <conditionalFormatting sqref="I114 E110">
    <cfRule type="cellIs" dxfId="101" priority="18" stopIfTrue="1" operator="equal">
      <formula>0</formula>
    </cfRule>
  </conditionalFormatting>
  <conditionalFormatting sqref="J107">
    <cfRule type="cellIs" dxfId="100" priority="17" stopIfTrue="1" operator="equal">
      <formula>0</formula>
    </cfRule>
  </conditionalFormatting>
  <conditionalFormatting sqref="E114:F114">
    <cfRule type="cellIs" dxfId="99" priority="16" stopIfTrue="1" operator="equal">
      <formula>0</formula>
    </cfRule>
  </conditionalFormatting>
  <conditionalFormatting sqref="F15">
    <cfRule type="cellIs" dxfId="98" priority="11" stopIfTrue="1" operator="equal">
      <formula>"Чужди средства"</formula>
    </cfRule>
    <cfRule type="cellIs" dxfId="97" priority="12" stopIfTrue="1" operator="equal">
      <formula>"СЕС - ДМП"</formula>
    </cfRule>
    <cfRule type="cellIs" dxfId="96" priority="13" stopIfTrue="1" operator="equal">
      <formula>"СЕС - РА"</formula>
    </cfRule>
    <cfRule type="cellIs" dxfId="95" priority="14" stopIfTrue="1" operator="equal">
      <formula>"СЕС - ДЕС"</formula>
    </cfRule>
    <cfRule type="cellIs" dxfId="94" priority="15" stopIfTrue="1" operator="equal">
      <formula>"СЕС - КСФ"</formula>
    </cfRule>
  </conditionalFormatting>
  <conditionalFormatting sqref="B105">
    <cfRule type="cellIs" dxfId="93" priority="10" stopIfTrue="1" operator="notEqual">
      <formula>0</formula>
    </cfRule>
  </conditionalFormatting>
  <conditionalFormatting sqref="I11:J11">
    <cfRule type="cellIs" dxfId="92" priority="6" stopIfTrue="1" operator="between">
      <formula>1000000000000</formula>
      <formula>9999999999999990</formula>
    </cfRule>
    <cfRule type="cellIs" dxfId="91" priority="7" stopIfTrue="1" operator="between">
      <formula>10000000000</formula>
      <formula>999999999999</formula>
    </cfRule>
    <cfRule type="cellIs" dxfId="90" priority="8" stopIfTrue="1" operator="between">
      <formula>1000000</formula>
      <formula>99999999</formula>
    </cfRule>
    <cfRule type="cellIs" dxfId="89" priority="9" stopIfTrue="1" operator="between">
      <formula>100</formula>
      <formula>9999</formula>
    </cfRule>
  </conditionalFormatting>
  <conditionalFormatting sqref="E15">
    <cfRule type="cellIs" dxfId="88" priority="1" stopIfTrue="1" operator="equal">
      <formula>"Чужди средства"</formula>
    </cfRule>
    <cfRule type="cellIs" dxfId="87" priority="2" stopIfTrue="1" operator="equal">
      <formula>"СЕС - ДМП"</formula>
    </cfRule>
    <cfRule type="cellIs" dxfId="86" priority="3" stopIfTrue="1" operator="equal">
      <formula>"СЕС - РА"</formula>
    </cfRule>
    <cfRule type="cellIs" dxfId="85" priority="4" stopIfTrue="1" operator="equal">
      <formula>"СЕС - ДЕС"</formula>
    </cfRule>
    <cfRule type="cellIs" dxfId="84"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2"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+[9]OTCHET!B9</f>
        <v>РИОСВ - ПЛОВДИВ</v>
      </c>
      <c r="C11" s="22"/>
      <c r="D11" s="22"/>
      <c r="E11" s="23" t="s">
        <v>0</v>
      </c>
      <c r="F11" s="24">
        <f>[9]OTCHET!F9</f>
        <v>45199</v>
      </c>
      <c r="G11" s="25" t="s">
        <v>1</v>
      </c>
      <c r="H11" s="26">
        <f>+[9]OTCHET!H9</f>
        <v>471013</v>
      </c>
      <c r="I11" s="448">
        <f>+[9]OTCHET!I9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+[9]OTCHET!B12</f>
        <v>Министерство на околната среда и водите</v>
      </c>
      <c r="C13" s="31"/>
      <c r="D13" s="31"/>
      <c r="E13" s="35" t="str">
        <f>+[9]OTCHET!E12</f>
        <v>код по ЕБК:</v>
      </c>
      <c r="F13" s="36" t="str">
        <f>+[9]OTCHET!F12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+[9]OTCHET!E15</f>
        <v>0</v>
      </c>
      <c r="F15" s="41" t="str">
        <f>[9]OTCHET!F15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170000</v>
      </c>
      <c r="F22" s="102">
        <f t="shared" si="0"/>
        <v>101600</v>
      </c>
      <c r="G22" s="103">
        <f t="shared" si="0"/>
        <v>121500</v>
      </c>
      <c r="H22" s="104">
        <f t="shared" si="0"/>
        <v>0</v>
      </c>
      <c r="I22" s="104">
        <f t="shared" si="0"/>
        <v>0</v>
      </c>
      <c r="J22" s="105">
        <f t="shared" si="0"/>
        <v>-19900</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[9]OTCHET!E22+[9]OTCHET!E28+[9]OTCHET!E33+[9]OTCHET!E39+[9]OTCHET!E47+[9]OTCHET!E52+[9]OTCHET!E58+[9]OTCHET!E61+[9]OTCHET!E64+[9]OTCHET!E65+[9]OTCHET!E72+[9]OTCHET!E73</f>
        <v>0</v>
      </c>
      <c r="F23" s="111">
        <f t="shared" ref="F23:F88" si="1">+G23+H23+I23+J23</f>
        <v>0</v>
      </c>
      <c r="G23" s="112">
        <f>[9]OTCHET!G22+[9]OTCHET!G28+[9]OTCHET!G33+[9]OTCHET!G39+[9]OTCHET!G47+[9]OTCHET!G52+[9]OTCHET!G58+[9]OTCHET!G61+[9]OTCHET!G64+[9]OTCHET!G65+[9]OTCHET!G72+[9]OTCHET!G73</f>
        <v>0</v>
      </c>
      <c r="H23" s="113">
        <f>[9]OTCHET!H22+[9]OTCHET!H28+[9]OTCHET!H33+[9]OTCHET!H39+[9]OTCHET!H47+[9]OTCHET!H52+[9]OTCHET!H58+[9]OTCHET!H61+[9]OTCHET!H64+[9]OTCHET!H65+[9]OTCHET!H72+[9]OTCHET!H73</f>
        <v>0</v>
      </c>
      <c r="I23" s="113">
        <f>[9]OTCHET!I22+[9]OTCHET!I28+[9]OTCHET!I33+[9]OTCHET!I39+[9]OTCHET!I47+[9]OTCHET!I52+[9]OTCHET!I58+[9]OTCHET!I61+[9]OTCHET!I64+[9]OTCHET!I65+[9]OTCHET!I72+[9]OTCHET!I73</f>
        <v>0</v>
      </c>
      <c r="J23" s="114">
        <f>[9]OTCHET!J22+[9]OTCHET!J28+[9]OTCHET!J33+[9]OTCHET!J39+[9]OTCHET!J47+[9]OTCHET!J52+[9]OTCHET!J58+[9]OTCHET!J61+[9]OTCHET!J64+[9]OTCHET!J65+[9]OTCHET!J72+[9]OTCHET!J73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170000</v>
      </c>
      <c r="F25" s="127">
        <f>+F26+F30+F31+F32+F33</f>
        <v>101600</v>
      </c>
      <c r="G25" s="128">
        <f t="shared" ref="G25:M25" si="2">+G26+G30+G31+G32+G33</f>
        <v>121500</v>
      </c>
      <c r="H25" s="129">
        <f>+H26+H30+H31+H32+H33</f>
        <v>0</v>
      </c>
      <c r="I25" s="129">
        <f>+I26+I30+I31+I32+I33</f>
        <v>0</v>
      </c>
      <c r="J25" s="130">
        <f>+J26+J30+J31+J32+J33</f>
        <v>-19900</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[9]OTCHET!E74</f>
        <v>0</v>
      </c>
      <c r="F26" s="133">
        <f t="shared" si="1"/>
        <v>0</v>
      </c>
      <c r="G26" s="134">
        <f>[9]OTCHET!G74</f>
        <v>0</v>
      </c>
      <c r="H26" s="135">
        <f>[9]OTCHET!H74</f>
        <v>0</v>
      </c>
      <c r="I26" s="135">
        <f>[9]OTCHET!I74</f>
        <v>0</v>
      </c>
      <c r="J26" s="136">
        <f>[9]OTCHET!J74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[9]OTCHET!E75</f>
        <v>0</v>
      </c>
      <c r="F27" s="140">
        <f t="shared" si="1"/>
        <v>0</v>
      </c>
      <c r="G27" s="141">
        <f>[9]OTCHET!G75</f>
        <v>0</v>
      </c>
      <c r="H27" s="142">
        <f>[9]OTCHET!H75</f>
        <v>0</v>
      </c>
      <c r="I27" s="142">
        <f>[9]OTCHET!I75</f>
        <v>0</v>
      </c>
      <c r="J27" s="143">
        <f>[9]OTCHET!J75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[9]OTCHET!E77</f>
        <v>0</v>
      </c>
      <c r="F28" s="148">
        <f t="shared" si="1"/>
        <v>0</v>
      </c>
      <c r="G28" s="149">
        <f>[9]OTCHET!G77</f>
        <v>0</v>
      </c>
      <c r="H28" s="150">
        <f>[9]OTCHET!H77</f>
        <v>0</v>
      </c>
      <c r="I28" s="150">
        <f>[9]OTCHET!I77</f>
        <v>0</v>
      </c>
      <c r="J28" s="151">
        <f>[9]OTCHET!J77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+[9]OTCHET!E78+[9]OTCHET!E79</f>
        <v>0</v>
      </c>
      <c r="F29" s="156">
        <f t="shared" si="1"/>
        <v>0</v>
      </c>
      <c r="G29" s="157">
        <f>+[9]OTCHET!G78+[9]OTCHET!G79</f>
        <v>0</v>
      </c>
      <c r="H29" s="158">
        <f>+[9]OTCHET!H78+[9]OTCHET!H79</f>
        <v>0</v>
      </c>
      <c r="I29" s="158">
        <f>+[9]OTCHET!I78+[9]OTCHET!I79</f>
        <v>0</v>
      </c>
      <c r="J29" s="159">
        <f>+[9]OTCHET!J78+[9]OTCHET!J79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[9]OTCHET!E90+[9]OTCHET!E93+[9]OTCHET!E94</f>
        <v>140000</v>
      </c>
      <c r="F30" s="162">
        <f t="shared" si="1"/>
        <v>111906</v>
      </c>
      <c r="G30" s="163">
        <f>[9]OTCHET!G90+[9]OTCHET!G93+[9]OTCHET!G94</f>
        <v>111906</v>
      </c>
      <c r="H30" s="164">
        <f>[9]OTCHET!H90+[9]OTCHET!H93+[9]OTCHET!H94</f>
        <v>0</v>
      </c>
      <c r="I30" s="164">
        <f>[9]OTCHET!I90+[9]OTCHET!I93+[9]OTCHET!I94</f>
        <v>0</v>
      </c>
      <c r="J30" s="165">
        <f>[9]OTCHET!J90+[9]OTCHET!J93+[9]OTCHET!J94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[9]OTCHET!E106</f>
        <v>30000</v>
      </c>
      <c r="F31" s="168">
        <f t="shared" si="1"/>
        <v>9607</v>
      </c>
      <c r="G31" s="169">
        <f>[9]OTCHET!G106</f>
        <v>7772</v>
      </c>
      <c r="H31" s="170">
        <f>[9]OTCHET!H106</f>
        <v>0</v>
      </c>
      <c r="I31" s="170">
        <f>[9]OTCHET!I106</f>
        <v>0</v>
      </c>
      <c r="J31" s="171">
        <f>[9]OTCHET!J106</f>
        <v>1835</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[9]OTCHET!E110+[9]OTCHET!E119+[9]OTCHET!E135+[9]OTCHET!E136</f>
        <v>0</v>
      </c>
      <c r="F32" s="168">
        <f t="shared" si="1"/>
        <v>-19913</v>
      </c>
      <c r="G32" s="169">
        <f>[9]OTCHET!G110+[9]OTCHET!G119+[9]OTCHET!G135+[9]OTCHET!G136</f>
        <v>1822</v>
      </c>
      <c r="H32" s="170">
        <f>[9]OTCHET!H110+[9]OTCHET!H119+[9]OTCHET!H135+[9]OTCHET!H136</f>
        <v>0</v>
      </c>
      <c r="I32" s="170">
        <f>[9]OTCHET!I110+[9]OTCHET!I119+[9]OTCHET!I135+[9]OTCHET!I136</f>
        <v>0</v>
      </c>
      <c r="J32" s="171">
        <f>[9]OTCHET!J110+[9]OTCHET!J119+[9]OTCHET!J135+[9]OTCHET!J136</f>
        <v>-21735</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[9]OTCHET!E123</f>
        <v>0</v>
      </c>
      <c r="F33" s="120">
        <f t="shared" si="1"/>
        <v>0</v>
      </c>
      <c r="G33" s="121">
        <f>[9]OTCHET!G123</f>
        <v>0</v>
      </c>
      <c r="H33" s="122">
        <f>[9]OTCHET!H123</f>
        <v>0</v>
      </c>
      <c r="I33" s="122">
        <f>[9]OTCHET!I123</f>
        <v>0</v>
      </c>
      <c r="J33" s="123">
        <f>[9]OTCHET!J123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+[9]OTCHET!E137</f>
        <v>0</v>
      </c>
      <c r="F36" s="191">
        <f t="shared" si="1"/>
        <v>0</v>
      </c>
      <c r="G36" s="192">
        <f>+[9]OTCHET!G137</f>
        <v>0</v>
      </c>
      <c r="H36" s="193">
        <f>+[9]OTCHET!H137</f>
        <v>0</v>
      </c>
      <c r="I36" s="193">
        <f>+[9]OTCHET!I137</f>
        <v>0</v>
      </c>
      <c r="J36" s="194">
        <f>+[9]OTCHET!J137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[9]OTCHET!E140+[9]OTCHET!E149+[9]OTCHET!E158</f>
        <v>0</v>
      </c>
      <c r="F37" s="199">
        <f t="shared" si="1"/>
        <v>0</v>
      </c>
      <c r="G37" s="200">
        <f>[9]OTCHET!G140+[9]OTCHET!G149+[9]OTCHET!G158</f>
        <v>0</v>
      </c>
      <c r="H37" s="201">
        <f>[9]OTCHET!H140+[9]OTCHET!H149+[9]OTCHET!H158</f>
        <v>0</v>
      </c>
      <c r="I37" s="201">
        <f>[9]OTCHET!I140+[9]OTCHET!I149+[9]OTCHET!I158</f>
        <v>0</v>
      </c>
      <c r="J37" s="202">
        <f>[9]OTCHET!J140+[9]OTCHET!J149+[9]OTCHET!J158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1224229</v>
      </c>
      <c r="F38" s="209">
        <f t="shared" si="3"/>
        <v>917688</v>
      </c>
      <c r="G38" s="210">
        <f t="shared" si="3"/>
        <v>667799</v>
      </c>
      <c r="H38" s="211">
        <f t="shared" si="3"/>
        <v>0</v>
      </c>
      <c r="I38" s="211">
        <f t="shared" si="3"/>
        <v>2628</v>
      </c>
      <c r="J38" s="212">
        <f t="shared" si="3"/>
        <v>247261</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1060004</v>
      </c>
      <c r="F39" s="221">
        <f t="shared" si="4"/>
        <v>802465</v>
      </c>
      <c r="G39" s="222">
        <f t="shared" si="4"/>
        <v>555204</v>
      </c>
      <c r="H39" s="223">
        <f t="shared" si="4"/>
        <v>0</v>
      </c>
      <c r="I39" s="223">
        <f t="shared" si="4"/>
        <v>0</v>
      </c>
      <c r="J39" s="224">
        <f t="shared" si="4"/>
        <v>247261</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[9]OTCHET!E187</f>
        <v>752848</v>
      </c>
      <c r="F40" s="229">
        <f t="shared" si="1"/>
        <v>564665</v>
      </c>
      <c r="G40" s="230">
        <f>[9]OTCHET!G187</f>
        <v>499910</v>
      </c>
      <c r="H40" s="231">
        <f>[9]OTCHET!H187</f>
        <v>0</v>
      </c>
      <c r="I40" s="231">
        <f>[9]OTCHET!I187</f>
        <v>0</v>
      </c>
      <c r="J40" s="232">
        <f>[9]OTCHET!J187</f>
        <v>64755</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[9]OTCHET!E190</f>
        <v>66405</v>
      </c>
      <c r="F41" s="237">
        <f t="shared" si="1"/>
        <v>58855</v>
      </c>
      <c r="G41" s="238">
        <f>[9]OTCHET!G190</f>
        <v>55294</v>
      </c>
      <c r="H41" s="239">
        <f>[9]OTCHET!H190</f>
        <v>0</v>
      </c>
      <c r="I41" s="239">
        <f>[9]OTCHET!I190</f>
        <v>0</v>
      </c>
      <c r="J41" s="240">
        <f>[9]OTCHET!J190</f>
        <v>3561</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+[9]OTCHET!E196+[9]OTCHET!E204</f>
        <v>240751</v>
      </c>
      <c r="F42" s="244">
        <f t="shared" si="1"/>
        <v>178945</v>
      </c>
      <c r="G42" s="245">
        <f>+[9]OTCHET!G196+[9]OTCHET!G204</f>
        <v>0</v>
      </c>
      <c r="H42" s="246">
        <f>+[9]OTCHET!H196+[9]OTCHET!H204</f>
        <v>0</v>
      </c>
      <c r="I42" s="246">
        <f>+[9]OTCHET!I196+[9]OTCHET!I204</f>
        <v>0</v>
      </c>
      <c r="J42" s="247">
        <f>+[9]OTCHET!J196+[9]OTCHET!J204</f>
        <v>178945</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+[9]OTCHET!E205+[9]OTCHET!E223+[9]OTCHET!E271</f>
        <v>159625</v>
      </c>
      <c r="F43" s="250">
        <f t="shared" si="1"/>
        <v>110955</v>
      </c>
      <c r="G43" s="251">
        <f>+[9]OTCHET!G205+[9]OTCHET!G223+[9]OTCHET!G271</f>
        <v>108327</v>
      </c>
      <c r="H43" s="252">
        <f>+[9]OTCHET!H205+[9]OTCHET!H223+[9]OTCHET!H271</f>
        <v>0</v>
      </c>
      <c r="I43" s="252">
        <f>+[9]OTCHET!I205+[9]OTCHET!I223+[9]OTCHET!I271</f>
        <v>2628</v>
      </c>
      <c r="J43" s="253">
        <f>+[9]OTCHET!J205+[9]OTCHET!J223+[9]OTCHET!J271</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+[9]OTCHET!E227+[9]OTCHET!E233+[9]OTCHET!E236+[9]OTCHET!E237+[9]OTCHET!E238+[9]OTCHET!E239+[9]OTCHET!E240</f>
        <v>0</v>
      </c>
      <c r="F44" s="120">
        <f t="shared" si="1"/>
        <v>0</v>
      </c>
      <c r="G44" s="121">
        <f>+[9]OTCHET!G227+[9]OTCHET!G233+[9]OTCHET!G236+[9]OTCHET!G237+[9]OTCHET!G238+[9]OTCHET!G239+[9]OTCHET!G240</f>
        <v>0</v>
      </c>
      <c r="H44" s="122">
        <f>+[9]OTCHET!H227+[9]OTCHET!H233+[9]OTCHET!H236+[9]OTCHET!H237+[9]OTCHET!H238+[9]OTCHET!H239+[9]OTCHET!H240</f>
        <v>0</v>
      </c>
      <c r="I44" s="122">
        <f>+[9]OTCHET!I227+[9]OTCHET!I233+[9]OTCHET!I236+[9]OTCHET!I237+[9]OTCHET!I238+[9]OTCHET!I239+[9]OTCHET!I240</f>
        <v>0</v>
      </c>
      <c r="J44" s="123">
        <f>+[9]OTCHET!J227+[9]OTCHET!J233+[9]OTCHET!J236+[9]OTCHET!J237+[9]OTCHET!J238+[9]OTCHET!J239+[9]OTCHET!J240</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+[9]OTCHET!E236+[9]OTCHET!E237+[9]OTCHET!E238+[9]OTCHET!E239+[9]OTCHET!E243+[9]OTCHET!E244+[9]OTCHET!E248</f>
        <v>0</v>
      </c>
      <c r="F45" s="256">
        <f t="shared" si="1"/>
        <v>0</v>
      </c>
      <c r="G45" s="257">
        <f>+[9]OTCHET!G236+[9]OTCHET!G237+[9]OTCHET!G238+[9]OTCHET!G239+[9]OTCHET!G243+[9]OTCHET!G244+[9]OTCHET!G248</f>
        <v>0</v>
      </c>
      <c r="H45" s="258">
        <f>+[9]OTCHET!H236+[9]OTCHET!H237+[9]OTCHET!H238+[9]OTCHET!H239+[9]OTCHET!H243+[9]OTCHET!H244+[9]OTCHET!H248</f>
        <v>0</v>
      </c>
      <c r="I45" s="259">
        <f>+[9]OTCHET!I236+[9]OTCHET!I237+[9]OTCHET!I238+[9]OTCHET!I239+[9]OTCHET!I243+[9]OTCHET!I244+[9]OTCHET!I248</f>
        <v>0</v>
      </c>
      <c r="J45" s="260">
        <f>+[9]OTCHET!J236+[9]OTCHET!J237+[9]OTCHET!J238+[9]OTCHET!J239+[9]OTCHET!J243+[9]OTCHET!J244+[9]OTCHET!J248</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+[9]OTCHET!E255+[9]OTCHET!E256+[9]OTCHET!E257+[9]OTCHET!E258</f>
        <v>0</v>
      </c>
      <c r="F46" s="250">
        <f t="shared" si="1"/>
        <v>0</v>
      </c>
      <c r="G46" s="251">
        <f>+[9]OTCHET!G255+[9]OTCHET!G256+[9]OTCHET!G257+[9]OTCHET!G258</f>
        <v>0</v>
      </c>
      <c r="H46" s="252">
        <f>+[9]OTCHET!H255+[9]OTCHET!H256+[9]OTCHET!H257+[9]OTCHET!H258</f>
        <v>0</v>
      </c>
      <c r="I46" s="252">
        <f>+[9]OTCHET!I255+[9]OTCHET!I256+[9]OTCHET!I257+[9]OTCHET!I258</f>
        <v>0</v>
      </c>
      <c r="J46" s="253">
        <f>+[9]OTCHET!J255+[9]OTCHET!J256+[9]OTCHET!J257+[9]OTCHET!J258</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+[9]OTCHET!E256</f>
        <v>0</v>
      </c>
      <c r="F47" s="256">
        <f t="shared" si="1"/>
        <v>0</v>
      </c>
      <c r="G47" s="257">
        <f>+[9]OTCHET!G256</f>
        <v>0</v>
      </c>
      <c r="H47" s="258">
        <f>+[9]OTCHET!H256</f>
        <v>0</v>
      </c>
      <c r="I47" s="259">
        <f>+[9]OTCHET!I256</f>
        <v>0</v>
      </c>
      <c r="J47" s="260">
        <f>+[9]OTCHET!J256</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+[9]OTCHET!E265+[9]OTCHET!E269+[9]OTCHET!E270</f>
        <v>0</v>
      </c>
      <c r="F48" s="168">
        <f t="shared" si="1"/>
        <v>0</v>
      </c>
      <c r="G48" s="163">
        <f>+[9]OTCHET!G265+[9]OTCHET!G269+[9]OTCHET!G270</f>
        <v>0</v>
      </c>
      <c r="H48" s="164">
        <f>+[9]OTCHET!H265+[9]OTCHET!H269+[9]OTCHET!H270</f>
        <v>0</v>
      </c>
      <c r="I48" s="164">
        <f>+[9]OTCHET!I265+[9]OTCHET!I269+[9]OTCHET!I270</f>
        <v>0</v>
      </c>
      <c r="J48" s="165">
        <f>+[9]OTCHET!J265+[9]OTCHET!J269+[9]OTCHET!J270</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[9]OTCHET!E275+[9]OTCHET!E276+[9]OTCHET!E284+[9]OTCHET!E287</f>
        <v>4600</v>
      </c>
      <c r="F49" s="168">
        <f t="shared" si="1"/>
        <v>4268</v>
      </c>
      <c r="G49" s="169">
        <f>[9]OTCHET!G275+[9]OTCHET!G276+[9]OTCHET!G284+[9]OTCHET!G287</f>
        <v>4268</v>
      </c>
      <c r="H49" s="170">
        <f>[9]OTCHET!H275+[9]OTCHET!H276+[9]OTCHET!H284+[9]OTCHET!H287</f>
        <v>0</v>
      </c>
      <c r="I49" s="170">
        <f>[9]OTCHET!I275+[9]OTCHET!I276+[9]OTCHET!I284+[9]OTCHET!I287</f>
        <v>0</v>
      </c>
      <c r="J49" s="171">
        <f>[9]OTCHET!J275+[9]OTCHET!J276+[9]OTCHET!J284+[9]OTCHET!J287</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+[9]OTCHET!E288</f>
        <v>0</v>
      </c>
      <c r="F50" s="168">
        <f t="shared" si="1"/>
        <v>0</v>
      </c>
      <c r="G50" s="169">
        <f>+[9]OTCHET!G288</f>
        <v>0</v>
      </c>
      <c r="H50" s="170">
        <f>+[9]OTCHET!H288</f>
        <v>0</v>
      </c>
      <c r="I50" s="170">
        <f>+[9]OTCHET!I288</f>
        <v>0</v>
      </c>
      <c r="J50" s="171">
        <f>+[9]OTCHET!J288</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+[9]OTCHET!E272</f>
        <v>0</v>
      </c>
      <c r="F51" s="120">
        <f>+G51+H51+I51+J51</f>
        <v>0</v>
      </c>
      <c r="G51" s="121">
        <f>+[9]OTCHET!G272</f>
        <v>0</v>
      </c>
      <c r="H51" s="122">
        <f>+[9]OTCHET!H272</f>
        <v>0</v>
      </c>
      <c r="I51" s="122">
        <f>+[9]OTCHET!I272</f>
        <v>0</v>
      </c>
      <c r="J51" s="123">
        <f>+[9]OTCHET!J272</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+[9]OTCHET!E293</f>
        <v>0</v>
      </c>
      <c r="F52" s="120">
        <f t="shared" si="1"/>
        <v>0</v>
      </c>
      <c r="G52" s="121">
        <f>+[9]OTCHET!G293</f>
        <v>0</v>
      </c>
      <c r="H52" s="122">
        <f>+[9]OTCHET!H293</f>
        <v>0</v>
      </c>
      <c r="I52" s="122">
        <f>+[9]OTCHET!I293</f>
        <v>0</v>
      </c>
      <c r="J52" s="123">
        <f>+[9]OTCHET!J293</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[9]OTCHET!E294</f>
        <v>0</v>
      </c>
      <c r="F53" s="267">
        <f t="shared" si="1"/>
        <v>0</v>
      </c>
      <c r="G53" s="268">
        <f>[9]OTCHET!G294</f>
        <v>0</v>
      </c>
      <c r="H53" s="269">
        <f>[9]OTCHET!H294</f>
        <v>0</v>
      </c>
      <c r="I53" s="269">
        <f>[9]OTCHET!I294</f>
        <v>0</v>
      </c>
      <c r="J53" s="270">
        <f>[9]OTCHET!J294</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[9]OTCHET!E296</f>
        <v>0</v>
      </c>
      <c r="F54" s="275">
        <f t="shared" si="1"/>
        <v>0</v>
      </c>
      <c r="G54" s="276">
        <f>[9]OTCHET!G296</f>
        <v>0</v>
      </c>
      <c r="H54" s="277">
        <f>[9]OTCHET!H296</f>
        <v>0</v>
      </c>
      <c r="I54" s="277">
        <f>[9]OTCHET!I296</f>
        <v>0</v>
      </c>
      <c r="J54" s="278">
        <f>[9]OTCHET!J296</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+[9]OTCHET!E297</f>
        <v>0</v>
      </c>
      <c r="F55" s="284">
        <f t="shared" si="1"/>
        <v>0</v>
      </c>
      <c r="G55" s="285">
        <f>+[9]OTCHET!G297</f>
        <v>0</v>
      </c>
      <c r="H55" s="286">
        <f>+[9]OTCHET!H297</f>
        <v>0</v>
      </c>
      <c r="I55" s="286">
        <f>+[9]OTCHET!I297</f>
        <v>0</v>
      </c>
      <c r="J55" s="287">
        <f>+[9]OTCHET!J297</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1054229</v>
      </c>
      <c r="F56" s="293">
        <f t="shared" si="5"/>
        <v>821848</v>
      </c>
      <c r="G56" s="294">
        <f t="shared" si="5"/>
        <v>574587</v>
      </c>
      <c r="H56" s="295">
        <f t="shared" si="5"/>
        <v>0</v>
      </c>
      <c r="I56" s="296">
        <f t="shared" si="5"/>
        <v>0</v>
      </c>
      <c r="J56" s="297">
        <f t="shared" si="5"/>
        <v>247261</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+[9]OTCHET!E361+[9]OTCHET!E375+[9]OTCHET!E388</f>
        <v>0</v>
      </c>
      <c r="F57" s="299">
        <f t="shared" si="1"/>
        <v>0</v>
      </c>
      <c r="G57" s="300">
        <f>+[9]OTCHET!G361+[9]OTCHET!G375+[9]OTCHET!G388</f>
        <v>0</v>
      </c>
      <c r="H57" s="301">
        <f>+[9]OTCHET!H361+[9]OTCHET!H375+[9]OTCHET!H388</f>
        <v>0</v>
      </c>
      <c r="I57" s="301">
        <f>+[9]OTCHET!I361+[9]OTCHET!I375+[9]OTCHET!I388</f>
        <v>0</v>
      </c>
      <c r="J57" s="302">
        <f>+[9]OTCHET!J361+[9]OTCHET!J375+[9]OTCHET!J388</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+[9]OTCHET!E383+[9]OTCHET!E391+[9]OTCHET!E396+[9]OTCHET!E399+[9]OTCHET!E402+[9]OTCHET!E405+[9]OTCHET!E406+[9]OTCHET!E409+[9]OTCHET!E422+[9]OTCHET!E423+[9]OTCHET!E424+[9]OTCHET!E425+[9]OTCHET!E426</f>
        <v>1054229</v>
      </c>
      <c r="F58" s="304">
        <f t="shared" si="1"/>
        <v>574587</v>
      </c>
      <c r="G58" s="305">
        <f>+[9]OTCHET!G383+[9]OTCHET!G391+[9]OTCHET!G396+[9]OTCHET!G399+[9]OTCHET!G402+[9]OTCHET!G405+[9]OTCHET!G406+[9]OTCHET!G409+[9]OTCHET!G422+[9]OTCHET!G423+[9]OTCHET!G424+[9]OTCHET!G425+[9]OTCHET!G426</f>
        <v>574587</v>
      </c>
      <c r="H58" s="306">
        <f>+[9]OTCHET!H383+[9]OTCHET!H391+[9]OTCHET!H396+[9]OTCHET!H399+[9]OTCHET!H402+[9]OTCHET!H405+[9]OTCHET!H406+[9]OTCHET!H409+[9]OTCHET!H422+[9]OTCHET!H423+[9]OTCHET!H424+[9]OTCHET!H425+[9]OTCHET!H426</f>
        <v>0</v>
      </c>
      <c r="I58" s="306">
        <f>+[9]OTCHET!I383+[9]OTCHET!I391+[9]OTCHET!I396+[9]OTCHET!I399+[9]OTCHET!I402+[9]OTCHET!I405+[9]OTCHET!I406+[9]OTCHET!I409+[9]OTCHET!I422+[9]OTCHET!I423+[9]OTCHET!I424+[9]OTCHET!I425+[9]OTCHET!I426</f>
        <v>0</v>
      </c>
      <c r="J58" s="307">
        <f>+[9]OTCHET!J383+[9]OTCHET!J391+[9]OTCHET!J396+[9]OTCHET!J399+[9]OTCHET!J402+[9]OTCHET!J405+[9]OTCHET!J406+[9]OTCHET!J409+[9]OTCHET!J422+[9]OTCHET!J423+[9]OTCHET!J424+[9]OTCHET!J425+[9]OTCHET!J426</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+[9]OTCHET!E422+[9]OTCHET!E423+[9]OTCHET!E424+[9]OTCHET!E425+[9]OTCHET!E426</f>
        <v>0</v>
      </c>
      <c r="F59" s="309">
        <f t="shared" si="1"/>
        <v>0</v>
      </c>
      <c r="G59" s="310">
        <f>+[9]OTCHET!G422+[9]OTCHET!G423+[9]OTCHET!G424+[9]OTCHET!G425+[9]OTCHET!G426</f>
        <v>0</v>
      </c>
      <c r="H59" s="311">
        <f>+[9]OTCHET!H422+[9]OTCHET!H423+[9]OTCHET!H424+[9]OTCHET!H425+[9]OTCHET!H426</f>
        <v>0</v>
      </c>
      <c r="I59" s="311">
        <f>+[9]OTCHET!I422+[9]OTCHET!I423+[9]OTCHET!I424+[9]OTCHET!I425+[9]OTCHET!I426</f>
        <v>0</v>
      </c>
      <c r="J59" s="312">
        <f>+[9]OTCHET!J422+[9]OTCHET!J423+[9]OTCHET!J424+[9]OTCHET!J425+[9]OTCHET!J426</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[9]OTCHET!E405</f>
        <v>0</v>
      </c>
      <c r="F60" s="316">
        <f t="shared" si="1"/>
        <v>0</v>
      </c>
      <c r="G60" s="317">
        <f>[9]OTCHET!G405</f>
        <v>0</v>
      </c>
      <c r="H60" s="318">
        <f>[9]OTCHET!H405</f>
        <v>0</v>
      </c>
      <c r="I60" s="318">
        <f>[9]OTCHET!I405</f>
        <v>0</v>
      </c>
      <c r="J60" s="319">
        <f>[9]OTCHET!J405</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[9]OTCHET!E412</f>
        <v>0</v>
      </c>
      <c r="F62" s="199">
        <f t="shared" si="1"/>
        <v>247261</v>
      </c>
      <c r="G62" s="200">
        <f>[9]OTCHET!G412</f>
        <v>0</v>
      </c>
      <c r="H62" s="201">
        <f>[9]OTCHET!H412</f>
        <v>0</v>
      </c>
      <c r="I62" s="201">
        <f>[9]OTCHET!I412</f>
        <v>0</v>
      </c>
      <c r="J62" s="202">
        <f>[9]OTCHET!J412</f>
        <v>247261</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+[9]OTCHET!E249</f>
        <v>0</v>
      </c>
      <c r="F63" s="328">
        <f t="shared" si="1"/>
        <v>0</v>
      </c>
      <c r="G63" s="329">
        <f>+[9]OTCHET!G249</f>
        <v>0</v>
      </c>
      <c r="H63" s="330">
        <f>+[9]OTCHET!H249</f>
        <v>0</v>
      </c>
      <c r="I63" s="330">
        <f>+[9]OTCHET!I249</f>
        <v>0</v>
      </c>
      <c r="J63" s="331">
        <f>+[9]OTCHET!J249</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5760</v>
      </c>
      <c r="G64" s="337">
        <f t="shared" si="6"/>
        <v>28288</v>
      </c>
      <c r="H64" s="338">
        <f t="shared" si="6"/>
        <v>0</v>
      </c>
      <c r="I64" s="338">
        <f t="shared" si="6"/>
        <v>-2628</v>
      </c>
      <c r="J64" s="339">
        <f t="shared" si="6"/>
        <v>-19900</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-5760</v>
      </c>
      <c r="G66" s="349">
        <f t="shared" ref="G66:L66" si="8">SUM(+G68+G76+G77+G84+G85+G86+G89+G90+G91+G92+G93+G94+G95)</f>
        <v>-28288</v>
      </c>
      <c r="H66" s="350">
        <f>SUM(+H68+H76+H77+H84+H85+H86+H89+H90+H91+H92+H93+H94+H95)</f>
        <v>0</v>
      </c>
      <c r="I66" s="350">
        <f>SUM(+I68+I76+I77+I84+I85+I86+I89+I90+I91+I92+I93+I94+I95)</f>
        <v>2628</v>
      </c>
      <c r="J66" s="351">
        <f>SUM(+J68+J76+J77+J84+J85+J86+J89+J90+J91+J92+J93+J94+J95)</f>
        <v>19900</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+[9]OTCHET!E482+[9]OTCHET!E483+[9]OTCHET!E486+[9]OTCHET!E487+[9]OTCHET!E490+[9]OTCHET!E491+[9]OTCHET!E495</f>
        <v>0</v>
      </c>
      <c r="F69" s="367">
        <f t="shared" si="1"/>
        <v>0</v>
      </c>
      <c r="G69" s="368">
        <f>+[9]OTCHET!G482+[9]OTCHET!G483+[9]OTCHET!G486+[9]OTCHET!G487+[9]OTCHET!G490+[9]OTCHET!G491+[9]OTCHET!G495</f>
        <v>0</v>
      </c>
      <c r="H69" s="369">
        <f>+[9]OTCHET!H482+[9]OTCHET!H483+[9]OTCHET!H486+[9]OTCHET!H487+[9]OTCHET!H490+[9]OTCHET!H491+[9]OTCHET!H495</f>
        <v>0</v>
      </c>
      <c r="I69" s="369">
        <f>+[9]OTCHET!I482+[9]OTCHET!I483+[9]OTCHET!I486+[9]OTCHET!I487+[9]OTCHET!I490+[9]OTCHET!I491+[9]OTCHET!I495</f>
        <v>0</v>
      </c>
      <c r="J69" s="370">
        <f>+[9]OTCHET!J482+[9]OTCHET!J483+[9]OTCHET!J486+[9]OTCHET!J487+[9]OTCHET!J490+[9]OTCHET!J491+[9]OTCHET!J495</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+[9]OTCHET!E484+[9]OTCHET!E485+[9]OTCHET!E488+[9]OTCHET!E489+[9]OTCHET!E492+[9]OTCHET!E493+[9]OTCHET!E494+[9]OTCHET!E496</f>
        <v>0</v>
      </c>
      <c r="F70" s="375">
        <f t="shared" si="1"/>
        <v>0</v>
      </c>
      <c r="G70" s="376">
        <f>+[9]OTCHET!G484+[9]OTCHET!G485+[9]OTCHET!G488+[9]OTCHET!G489+[9]OTCHET!G492+[9]OTCHET!G493+[9]OTCHET!G494+[9]OTCHET!G496</f>
        <v>0</v>
      </c>
      <c r="H70" s="377">
        <f>+[9]OTCHET!H484+[9]OTCHET!H485+[9]OTCHET!H488+[9]OTCHET!H489+[9]OTCHET!H492+[9]OTCHET!H493+[9]OTCHET!H494+[9]OTCHET!H496</f>
        <v>0</v>
      </c>
      <c r="I70" s="377">
        <f>+[9]OTCHET!I484+[9]OTCHET!I485+[9]OTCHET!I488+[9]OTCHET!I489+[9]OTCHET!I492+[9]OTCHET!I493+[9]OTCHET!I494+[9]OTCHET!I496</f>
        <v>0</v>
      </c>
      <c r="J70" s="378">
        <f>+[9]OTCHET!J484+[9]OTCHET!J485+[9]OTCHET!J488+[9]OTCHET!J489+[9]OTCHET!J492+[9]OTCHET!J493+[9]OTCHET!J494+[9]OTCHET!J496</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+[9]OTCHET!E497</f>
        <v>0</v>
      </c>
      <c r="F71" s="375">
        <f t="shared" si="1"/>
        <v>0</v>
      </c>
      <c r="G71" s="376">
        <f>+[9]OTCHET!G497</f>
        <v>0</v>
      </c>
      <c r="H71" s="377">
        <f>+[9]OTCHET!H497</f>
        <v>0</v>
      </c>
      <c r="I71" s="377">
        <f>+[9]OTCHET!I497</f>
        <v>0</v>
      </c>
      <c r="J71" s="378">
        <f>+[9]OTCHET!J497</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+[9]OTCHET!E502</f>
        <v>0</v>
      </c>
      <c r="F72" s="375">
        <f t="shared" si="1"/>
        <v>0</v>
      </c>
      <c r="G72" s="376">
        <f>+[9]OTCHET!G502</f>
        <v>0</v>
      </c>
      <c r="H72" s="377">
        <f>+[9]OTCHET!H502</f>
        <v>0</v>
      </c>
      <c r="I72" s="377">
        <f>+[9]OTCHET!I502</f>
        <v>0</v>
      </c>
      <c r="J72" s="378">
        <f>+[9]OTCHET!J502</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+[9]OTCHET!E542</f>
        <v>0</v>
      </c>
      <c r="F73" s="375">
        <f t="shared" si="1"/>
        <v>0</v>
      </c>
      <c r="G73" s="376">
        <f>+[9]OTCHET!G542</f>
        <v>0</v>
      </c>
      <c r="H73" s="377">
        <f>+[9]OTCHET!H542</f>
        <v>0</v>
      </c>
      <c r="I73" s="377">
        <f>+[9]OTCHET!I542</f>
        <v>0</v>
      </c>
      <c r="J73" s="378">
        <f>+[9]OTCHET!J542</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+[9]OTCHET!E581+[9]OTCHET!E582</f>
        <v>0</v>
      </c>
      <c r="F74" s="375">
        <f t="shared" si="1"/>
        <v>0</v>
      </c>
      <c r="G74" s="376">
        <f>+[9]OTCHET!G581+[9]OTCHET!G582</f>
        <v>0</v>
      </c>
      <c r="H74" s="377">
        <f>+[9]OTCHET!H581+[9]OTCHET!H582</f>
        <v>0</v>
      </c>
      <c r="I74" s="377">
        <f>+[9]OTCHET!I581+[9]OTCHET!I582</f>
        <v>0</v>
      </c>
      <c r="J74" s="378">
        <f>+[9]OTCHET!J581+[9]OTCHET!J582</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+[9]OTCHET!E583+[9]OTCHET!E584+[9]OTCHET!E585</f>
        <v>0</v>
      </c>
      <c r="F75" s="382">
        <f t="shared" si="1"/>
        <v>0</v>
      </c>
      <c r="G75" s="383">
        <f>+[9]OTCHET!G583+[9]OTCHET!G584+[9]OTCHET!G585</f>
        <v>0</v>
      </c>
      <c r="H75" s="384">
        <f>+[9]OTCHET!H583+[9]OTCHET!H584+[9]OTCHET!H585</f>
        <v>0</v>
      </c>
      <c r="I75" s="384">
        <f>+[9]OTCHET!I583+[9]OTCHET!I584+[9]OTCHET!I585</f>
        <v>0</v>
      </c>
      <c r="J75" s="385">
        <f>+[9]OTCHET!J583+[9]OTCHET!J584+[9]OTCHET!J585</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[9]OTCHET!E461</f>
        <v>0</v>
      </c>
      <c r="F76" s="299">
        <f t="shared" si="1"/>
        <v>0</v>
      </c>
      <c r="G76" s="300">
        <f>[9]OTCHET!G461</f>
        <v>0</v>
      </c>
      <c r="H76" s="301">
        <f>[9]OTCHET!H461</f>
        <v>0</v>
      </c>
      <c r="I76" s="301">
        <f>[9]OTCHET!I461</f>
        <v>0</v>
      </c>
      <c r="J76" s="302">
        <f>[9]OTCHET!J461</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+[9]OTCHET!E466+[9]OTCHET!E469</f>
        <v>0</v>
      </c>
      <c r="F78" s="367">
        <f t="shared" si="1"/>
        <v>0</v>
      </c>
      <c r="G78" s="368">
        <f>+[9]OTCHET!G466+[9]OTCHET!G469</f>
        <v>0</v>
      </c>
      <c r="H78" s="369">
        <f>+[9]OTCHET!H466+[9]OTCHET!H469</f>
        <v>0</v>
      </c>
      <c r="I78" s="369">
        <f>+[9]OTCHET!I466+[9]OTCHET!I469</f>
        <v>0</v>
      </c>
      <c r="J78" s="370">
        <f>+[9]OTCHET!J466+[9]OTCHET!J469</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+[9]OTCHET!E467+[9]OTCHET!E470</f>
        <v>0</v>
      </c>
      <c r="F79" s="375">
        <f t="shared" si="1"/>
        <v>0</v>
      </c>
      <c r="G79" s="376">
        <f>+[9]OTCHET!G467+[9]OTCHET!G470</f>
        <v>0</v>
      </c>
      <c r="H79" s="377">
        <f>+[9]OTCHET!H467+[9]OTCHET!H470</f>
        <v>0</v>
      </c>
      <c r="I79" s="377">
        <f>+[9]OTCHET!I467+[9]OTCHET!I470</f>
        <v>0</v>
      </c>
      <c r="J79" s="378">
        <f>+[9]OTCHET!J467+[9]OTCHET!J470</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[9]OTCHET!E471</f>
        <v>0</v>
      </c>
      <c r="F80" s="375">
        <f t="shared" si="1"/>
        <v>0</v>
      </c>
      <c r="G80" s="376">
        <f>[9]OTCHET!G471</f>
        <v>0</v>
      </c>
      <c r="H80" s="377">
        <f>[9]OTCHET!H471</f>
        <v>0</v>
      </c>
      <c r="I80" s="377">
        <f>[9]OTCHET!I471</f>
        <v>0</v>
      </c>
      <c r="J80" s="378">
        <f>[9]OTCHET!J471</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+[9]OTCHET!E479</f>
        <v>0</v>
      </c>
      <c r="F82" s="375">
        <f t="shared" si="1"/>
        <v>0</v>
      </c>
      <c r="G82" s="376">
        <f>+[9]OTCHET!G479</f>
        <v>0</v>
      </c>
      <c r="H82" s="377">
        <f>+[9]OTCHET!H479</f>
        <v>0</v>
      </c>
      <c r="I82" s="377">
        <f>+[9]OTCHET!I479</f>
        <v>0</v>
      </c>
      <c r="J82" s="378">
        <f>+[9]OTCHET!J479</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+[9]OTCHET!E480</f>
        <v>0</v>
      </c>
      <c r="F83" s="382">
        <f t="shared" si="1"/>
        <v>0</v>
      </c>
      <c r="G83" s="383">
        <f>+[9]OTCHET!G480</f>
        <v>0</v>
      </c>
      <c r="H83" s="384">
        <f>+[9]OTCHET!H480</f>
        <v>0</v>
      </c>
      <c r="I83" s="384">
        <f>+[9]OTCHET!I480</f>
        <v>0</v>
      </c>
      <c r="J83" s="385">
        <f>+[9]OTCHET!J480</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[9]OTCHET!E535</f>
        <v>0</v>
      </c>
      <c r="F84" s="299">
        <f t="shared" si="1"/>
        <v>0</v>
      </c>
      <c r="G84" s="300">
        <f>[9]OTCHET!G535</f>
        <v>0</v>
      </c>
      <c r="H84" s="301">
        <f>[9]OTCHET!H535</f>
        <v>0</v>
      </c>
      <c r="I84" s="301">
        <f>[9]OTCHET!I535</f>
        <v>0</v>
      </c>
      <c r="J84" s="302">
        <f>[9]OTCHET!J535</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[9]OTCHET!E536</f>
        <v>0</v>
      </c>
      <c r="F85" s="304">
        <f t="shared" si="1"/>
        <v>0</v>
      </c>
      <c r="G85" s="305">
        <f>[9]OTCHET!G536</f>
        <v>0</v>
      </c>
      <c r="H85" s="306">
        <f>[9]OTCHET!H536</f>
        <v>0</v>
      </c>
      <c r="I85" s="306">
        <f>[9]OTCHET!I536</f>
        <v>0</v>
      </c>
      <c r="J85" s="307">
        <f>[9]OTCHET!J536</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-5588</v>
      </c>
      <c r="G86" s="310">
        <f t="shared" ref="G86:M86" si="11">+G87+G88</f>
        <v>-25488</v>
      </c>
      <c r="H86" s="311">
        <f>+H87+H88</f>
        <v>0</v>
      </c>
      <c r="I86" s="311">
        <f>+I87+I88</f>
        <v>0</v>
      </c>
      <c r="J86" s="312">
        <f>+J87+J88</f>
        <v>19900</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+[9]OTCHET!E503+[9]OTCHET!E512+[9]OTCHET!E516+[9]OTCHET!E543</f>
        <v>0</v>
      </c>
      <c r="F87" s="367">
        <f t="shared" si="1"/>
        <v>0</v>
      </c>
      <c r="G87" s="368">
        <f>+[9]OTCHET!G503+[9]OTCHET!G512+[9]OTCHET!G516+[9]OTCHET!G543</f>
        <v>0</v>
      </c>
      <c r="H87" s="369">
        <f>+[9]OTCHET!H503+[9]OTCHET!H512+[9]OTCHET!H516+[9]OTCHET!H543</f>
        <v>0</v>
      </c>
      <c r="I87" s="369">
        <f>+[9]OTCHET!I503+[9]OTCHET!I512+[9]OTCHET!I516+[9]OTCHET!I543</f>
        <v>0</v>
      </c>
      <c r="J87" s="370">
        <f>+[9]OTCHET!J503+[9]OTCHET!J512+[9]OTCHET!J516+[9]OTCHET!J543</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+[9]OTCHET!E521+[9]OTCHET!E524+[9]OTCHET!E544</f>
        <v>0</v>
      </c>
      <c r="F88" s="382">
        <f t="shared" si="1"/>
        <v>-5588</v>
      </c>
      <c r="G88" s="383">
        <f>+[9]OTCHET!G521+[9]OTCHET!G524+[9]OTCHET!G544</f>
        <v>-25488</v>
      </c>
      <c r="H88" s="384">
        <f>+[9]OTCHET!H521+[9]OTCHET!H524+[9]OTCHET!H544</f>
        <v>0</v>
      </c>
      <c r="I88" s="384">
        <f>+[9]OTCHET!I521+[9]OTCHET!I524+[9]OTCHET!I544</f>
        <v>0</v>
      </c>
      <c r="J88" s="385">
        <f>+[9]OTCHET!J521+[9]OTCHET!J524+[9]OTCHET!J544</f>
        <v>19900</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[9]OTCHET!E531</f>
        <v>0</v>
      </c>
      <c r="F89" s="299">
        <f t="shared" ref="F89:F96" si="12">+G89+H89+I89+J89</f>
        <v>0</v>
      </c>
      <c r="G89" s="300">
        <f>[9]OTCHET!G531</f>
        <v>0</v>
      </c>
      <c r="H89" s="301">
        <f>[9]OTCHET!H531</f>
        <v>0</v>
      </c>
      <c r="I89" s="301">
        <f>[9]OTCHET!I531</f>
        <v>0</v>
      </c>
      <c r="J89" s="302">
        <f>[9]OTCHET!J531</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+[9]OTCHET!E567+[9]OTCHET!E568+[9]OTCHET!E569+[9]OTCHET!E570+[9]OTCHET!E571+[9]OTCHET!E572</f>
        <v>0</v>
      </c>
      <c r="F90" s="304">
        <f t="shared" si="12"/>
        <v>0</v>
      </c>
      <c r="G90" s="305">
        <f>+[9]OTCHET!G567+[9]OTCHET!G568+[9]OTCHET!G569+[9]OTCHET!G570+[9]OTCHET!G571+[9]OTCHET!G572</f>
        <v>0</v>
      </c>
      <c r="H90" s="306">
        <f>+[9]OTCHET!H567+[9]OTCHET!H568+[9]OTCHET!H569+[9]OTCHET!H570+[9]OTCHET!H571+[9]OTCHET!H572</f>
        <v>0</v>
      </c>
      <c r="I90" s="306">
        <f>+[9]OTCHET!I567+[9]OTCHET!I568+[9]OTCHET!I569+[9]OTCHET!I570+[9]OTCHET!I571+[9]OTCHET!I572</f>
        <v>0</v>
      </c>
      <c r="J90" s="307">
        <f>+[9]OTCHET!J567+[9]OTCHET!J568+[9]OTCHET!J569+[9]OTCHET!J570+[9]OTCHET!J571+[9]OTCHET!J572</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+[9]OTCHET!E573+[9]OTCHET!E574+[9]OTCHET!E575+[9]OTCHET!E576+[9]OTCHET!E577+[9]OTCHET!E578+[9]OTCHET!E579</f>
        <v>0</v>
      </c>
      <c r="F91" s="168">
        <f t="shared" si="12"/>
        <v>-172</v>
      </c>
      <c r="G91" s="169">
        <f>+[9]OTCHET!G573+[9]OTCHET!G574+[9]OTCHET!G575+[9]OTCHET!G576+[9]OTCHET!G577+[9]OTCHET!G578+[9]OTCHET!G579</f>
        <v>0</v>
      </c>
      <c r="H91" s="170">
        <f>+[9]OTCHET!H573+[9]OTCHET!H574+[9]OTCHET!H575+[9]OTCHET!H576+[9]OTCHET!H577+[9]OTCHET!H578+[9]OTCHET!H579</f>
        <v>0</v>
      </c>
      <c r="I91" s="170">
        <f>+[9]OTCHET!I573+[9]OTCHET!I574+[9]OTCHET!I575+[9]OTCHET!I576+[9]OTCHET!I577+[9]OTCHET!I578+[9]OTCHET!I579</f>
        <v>-172</v>
      </c>
      <c r="J91" s="171">
        <f>+[9]OTCHET!J573+[9]OTCHET!J574+[9]OTCHET!J575+[9]OTCHET!J576+[9]OTCHET!J577+[9]OTCHET!J578+[9]OTCHET!J579</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+[9]OTCHET!E580</f>
        <v>0</v>
      </c>
      <c r="F92" s="168">
        <f t="shared" si="12"/>
        <v>0</v>
      </c>
      <c r="G92" s="169">
        <f>+[9]OTCHET!G580</f>
        <v>0</v>
      </c>
      <c r="H92" s="170">
        <f>+[9]OTCHET!H580</f>
        <v>0</v>
      </c>
      <c r="I92" s="170">
        <f>+[9]OTCHET!I580</f>
        <v>0</v>
      </c>
      <c r="J92" s="171">
        <f>+[9]OTCHET!J580</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+[9]OTCHET!E587+[9]OTCHET!E588</f>
        <v>0</v>
      </c>
      <c r="F93" s="168">
        <f t="shared" si="12"/>
        <v>0</v>
      </c>
      <c r="G93" s="169">
        <f>+[9]OTCHET!G587+[9]OTCHET!G588</f>
        <v>0</v>
      </c>
      <c r="H93" s="170">
        <f>+[9]OTCHET!H587+[9]OTCHET!H588</f>
        <v>0</v>
      </c>
      <c r="I93" s="170">
        <f>+[9]OTCHET!I587+[9]OTCHET!I588</f>
        <v>0</v>
      </c>
      <c r="J93" s="171">
        <f>+[9]OTCHET!J587+[9]OTCHET!J588</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+[9]OTCHET!E589+[9]OTCHET!E590</f>
        <v>0</v>
      </c>
      <c r="F94" s="168">
        <f t="shared" si="12"/>
        <v>0</v>
      </c>
      <c r="G94" s="169">
        <f>+[9]OTCHET!G589+[9]OTCHET!G590</f>
        <v>0</v>
      </c>
      <c r="H94" s="170">
        <f>+[9]OTCHET!H589+[9]OTCHET!H590</f>
        <v>0</v>
      </c>
      <c r="I94" s="170">
        <f>+[9]OTCHET!I589+[9]OTCHET!I590</f>
        <v>0</v>
      </c>
      <c r="J94" s="171">
        <f>+[9]OTCHET!J589+[9]OTCHET!J590</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[9]OTCHET!E591</f>
        <v>0</v>
      </c>
      <c r="F95" s="120">
        <f t="shared" si="12"/>
        <v>0</v>
      </c>
      <c r="G95" s="121">
        <f>[9]OTCHET!G591</f>
        <v>-2800</v>
      </c>
      <c r="H95" s="122">
        <f>[9]OTCHET!H591</f>
        <v>0</v>
      </c>
      <c r="I95" s="122">
        <f>[9]OTCHET!I591</f>
        <v>2800</v>
      </c>
      <c r="J95" s="123">
        <f>[9]OTCHET!J591</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+[9]OTCHET!E594</f>
        <v>0</v>
      </c>
      <c r="F96" s="396">
        <f t="shared" si="12"/>
        <v>0</v>
      </c>
      <c r="G96" s="397">
        <f>+[9]OTCHET!G594</f>
        <v>0</v>
      </c>
      <c r="H96" s="398">
        <f>+[9]OTCHET!H594</f>
        <v>0</v>
      </c>
      <c r="I96" s="398">
        <f>+[9]OTCHET!I594</f>
        <v>0</v>
      </c>
      <c r="J96" s="399">
        <f>+[9]OTCHET!J594</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+[9]OTCHET!H605</f>
        <v>0</v>
      </c>
      <c r="C107" s="421"/>
      <c r="D107" s="421"/>
      <c r="E107" s="426"/>
      <c r="F107" s="19"/>
      <c r="G107" s="427">
        <f>+[9]OTCHET!E605</f>
        <v>0</v>
      </c>
      <c r="H107" s="427">
        <f>+[9]OTCHET!F605</f>
        <v>0</v>
      </c>
      <c r="I107" s="428"/>
      <c r="J107" s="429" t="str">
        <f>+[9]OTCHET!B605</f>
        <v>30.09.2023 г.</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83" priority="21" stopIfTrue="1" operator="notEqual">
      <formula>0</formula>
    </cfRule>
  </conditionalFormatting>
  <conditionalFormatting sqref="E105:J105">
    <cfRule type="cellIs" dxfId="82" priority="20" stopIfTrue="1" operator="notEqual">
      <formula>0</formula>
    </cfRule>
  </conditionalFormatting>
  <conditionalFormatting sqref="G107:H107 B107">
    <cfRule type="cellIs" dxfId="81" priority="19" stopIfTrue="1" operator="equal">
      <formula>0</formula>
    </cfRule>
  </conditionalFormatting>
  <conditionalFormatting sqref="I114 E110">
    <cfRule type="cellIs" dxfId="80" priority="18" stopIfTrue="1" operator="equal">
      <formula>0</formula>
    </cfRule>
  </conditionalFormatting>
  <conditionalFormatting sqref="J107">
    <cfRule type="cellIs" dxfId="79" priority="17" stopIfTrue="1" operator="equal">
      <formula>0</formula>
    </cfRule>
  </conditionalFormatting>
  <conditionalFormatting sqref="E114:F114">
    <cfRule type="cellIs" dxfId="78" priority="16" stopIfTrue="1" operator="equal">
      <formula>0</formula>
    </cfRule>
  </conditionalFormatting>
  <conditionalFormatting sqref="F15">
    <cfRule type="cellIs" dxfId="77" priority="11" stopIfTrue="1" operator="equal">
      <formula>"Чужди средства"</formula>
    </cfRule>
    <cfRule type="cellIs" dxfId="76" priority="12" stopIfTrue="1" operator="equal">
      <formula>"СЕС - ДМП"</formula>
    </cfRule>
    <cfRule type="cellIs" dxfId="75" priority="13" stopIfTrue="1" operator="equal">
      <formula>"СЕС - РА"</formula>
    </cfRule>
    <cfRule type="cellIs" dxfId="74" priority="14" stopIfTrue="1" operator="equal">
      <formula>"СЕС - ДЕС"</formula>
    </cfRule>
    <cfRule type="cellIs" dxfId="73" priority="15" stopIfTrue="1" operator="equal">
      <formula>"СЕС - КСФ"</formula>
    </cfRule>
  </conditionalFormatting>
  <conditionalFormatting sqref="B105">
    <cfRule type="cellIs" dxfId="72" priority="10" stopIfTrue="1" operator="notEqual">
      <formula>0</formula>
    </cfRule>
  </conditionalFormatting>
  <conditionalFormatting sqref="I11:J11">
    <cfRule type="cellIs" dxfId="71" priority="6" stopIfTrue="1" operator="between">
      <formula>1000000000000</formula>
      <formula>9999999999999990</formula>
    </cfRule>
    <cfRule type="cellIs" dxfId="70" priority="7" stopIfTrue="1" operator="between">
      <formula>10000000000</formula>
      <formula>999999999999</formula>
    </cfRule>
    <cfRule type="cellIs" dxfId="69" priority="8" stopIfTrue="1" operator="between">
      <formula>1000000</formula>
      <formula>99999999</formula>
    </cfRule>
    <cfRule type="cellIs" dxfId="68" priority="9" stopIfTrue="1" operator="between">
      <formula>100</formula>
      <formula>9999</formula>
    </cfRule>
  </conditionalFormatting>
  <conditionalFormatting sqref="E15">
    <cfRule type="cellIs" dxfId="67" priority="1" stopIfTrue="1" operator="equal">
      <formula>"Чужди средства"</formula>
    </cfRule>
    <cfRule type="cellIs" dxfId="66" priority="2" stopIfTrue="1" operator="equal">
      <formula>"СЕС - ДМП"</formula>
    </cfRule>
    <cfRule type="cellIs" dxfId="65" priority="3" stopIfTrue="1" operator="equal">
      <formula>"СЕС - РА"</formula>
    </cfRule>
    <cfRule type="cellIs" dxfId="64" priority="4" stopIfTrue="1" operator="equal">
      <formula>"СЕС - ДЕС"</formula>
    </cfRule>
    <cfRule type="cellIs" dxfId="63"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12</vt:i4>
      </vt:variant>
    </vt:vector>
  </HeadingPairs>
  <TitlesOfParts>
    <vt:vector size="12" baseType="lpstr">
      <vt:lpstr>OTCHETagregirani pokazateli0123</vt:lpstr>
      <vt:lpstr>OTCHETagregirani pokazateli0223</vt:lpstr>
      <vt:lpstr>OTCHETagregirani pokazateli0323</vt:lpstr>
      <vt:lpstr>OTCHETagregirani pokazateli0423</vt:lpstr>
      <vt:lpstr>OTCHETagregirani pokazateli0523</vt:lpstr>
      <vt:lpstr>OTCHETagregirani pokazateli0623</vt:lpstr>
      <vt:lpstr>OTCHETagregirani pokazateli0723</vt:lpstr>
      <vt:lpstr>OTCHETagregirani pokazateli0823</vt:lpstr>
      <vt:lpstr>OTCHETagregirani pokazateli0923</vt:lpstr>
      <vt:lpstr>OTCHETagregirani pokazateli1023</vt:lpstr>
      <vt:lpstr>OTCHETagregirani pokazateli1123</vt:lpstr>
      <vt:lpstr>OTCHETagregirani pokazateli1223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Ваня Каменска</dc:creator>
  <cp:lastModifiedBy>Ваня Каменска</cp:lastModifiedBy>
  <dcterms:created xsi:type="dcterms:W3CDTF">2023-09-12T10:50:20Z</dcterms:created>
  <dcterms:modified xsi:type="dcterms:W3CDTF">2024-01-29T14:17:25Z</dcterms:modified>
</cp:coreProperties>
</file>